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6" yWindow="228" windowWidth="15252" windowHeight="11760" tabRatio="662" activeTab="10"/>
  </bookViews>
  <sheets>
    <sheet name="Бюджетная ЗАЯВКА" sheetId="1" r:id="rId1"/>
    <sheet name="У-Абакан" sheetId="2" r:id="rId2"/>
    <sheet name="В-Биджа" sheetId="3" r:id="rId3"/>
    <sheet name="Весеннее" sheetId="4" r:id="rId4"/>
    <sheet name="Доможаковский" sheetId="5" r:id="rId5"/>
    <sheet name="Калинино" sheetId="6" r:id="rId6"/>
    <sheet name="Московское" sheetId="7" r:id="rId7"/>
    <sheet name="Опытное" sheetId="8" r:id="rId8"/>
    <sheet name="Райковский" sheetId="9" r:id="rId9"/>
    <sheet name="Расцвет" sheetId="10" r:id="rId10"/>
    <sheet name="Усть-Бюр" sheetId="11" r:id="rId11"/>
    <sheet name="Чарки" sheetId="12" r:id="rId12"/>
    <sheet name="СВОД" sheetId="13" r:id="rId13"/>
    <sheet name="Оценка в долях" sheetId="14" r:id="rId14"/>
    <sheet name="Оценка проектов " sheetId="15" r:id="rId15"/>
  </sheets>
  <definedNames>
    <definedName name="_GoBack" localSheetId="2">'В-Биджа'!#REF!</definedName>
    <definedName name="_GoBack" localSheetId="3">'Весеннее'!#REF!</definedName>
    <definedName name="_GoBack" localSheetId="6">'Московское'!#REF!</definedName>
    <definedName name="_GoBack" localSheetId="7">'Опытное'!#REF!</definedName>
    <definedName name="_GoBack" localSheetId="8">'Райковский'!#REF!</definedName>
    <definedName name="_GoBack" localSheetId="9">'Расцвет'!#REF!</definedName>
    <definedName name="_GoBack" localSheetId="10">'Усть-Бюр'!#REF!</definedName>
    <definedName name="_xlnm.Print_Area" localSheetId="2">'В-Биджа'!$A$1:$X$91</definedName>
    <definedName name="_xlnm.Print_Area" localSheetId="3">'Весеннее'!$A$1:$X$46</definedName>
    <definedName name="_xlnm.Print_Area" localSheetId="4">'Доможаковский'!$A$1:$X$71</definedName>
    <definedName name="_xlnm.Print_Area" localSheetId="5">'Калинино'!$A$1:$X$74</definedName>
    <definedName name="_xlnm.Print_Area" localSheetId="6">'Московское'!$A$1:$X$50</definedName>
    <definedName name="_xlnm.Print_Area" localSheetId="7">'Опытное'!$A$1:$X$52</definedName>
    <definedName name="_xlnm.Print_Area" localSheetId="8">'Райковский'!$A$1:$X$30</definedName>
    <definedName name="_xlnm.Print_Area" localSheetId="9">'Расцвет'!$A$1:$X$74</definedName>
    <definedName name="_xlnm.Print_Area" localSheetId="1">'У-Абакан'!$A$1:$X$52</definedName>
    <definedName name="_xlnm.Print_Area" localSheetId="10">'Усть-Бюр'!$A$1:$X$82</definedName>
    <definedName name="_xlnm.Print_Area" localSheetId="11">'Чарки'!$A$1:$X$70</definedName>
  </definedNames>
  <calcPr fullCalcOnLoad="1"/>
</workbook>
</file>

<file path=xl/sharedStrings.xml><?xml version="1.0" encoding="utf-8"?>
<sst xmlns="http://schemas.openxmlformats.org/spreadsheetml/2006/main" count="1303" uniqueCount="294">
  <si>
    <t>Реестр объектов, включаемых в состав проекта комплексного развития сельских территорий (сельских агломераций)</t>
  </si>
  <si>
    <t>(наименование проекта)</t>
  </si>
  <si>
    <t>(наименование субъекта Российской Федерации)</t>
  </si>
  <si>
    <t>Наименование населенного пункта</t>
  </si>
  <si>
    <t>Наименование и реквизиты нормативного правового акта об утверждении генерального плана поселения/ городского округа &lt;5&gt;</t>
  </si>
  <si>
    <t>Объем финансирования</t>
  </si>
  <si>
    <t xml:space="preserve"> на 2020 г., тыс. руб.</t>
  </si>
  <si>
    <t>на 2021 г., тыс. руб.</t>
  </si>
  <si>
    <t>всего</t>
  </si>
  <si>
    <t>в том числе средства:</t>
  </si>
  <si>
    <t>том числе средства:</t>
  </si>
  <si>
    <t>ФБ</t>
  </si>
  <si>
    <t>РБ</t>
  </si>
  <si>
    <t>МБ</t>
  </si>
  <si>
    <t>ВБ</t>
  </si>
  <si>
    <t>Усть-Абаканский район</t>
  </si>
  <si>
    <t>x</t>
  </si>
  <si>
    <t>Всего по мероприятию</t>
  </si>
  <si>
    <t>Итого по проекту</t>
  </si>
  <si>
    <t>Исполнитель:</t>
  </si>
  <si>
    <t>Сметная стоимость, тыс. руб., в т.ч. ранее профинансированные затраты (руб.) &lt;9&gt;</t>
  </si>
  <si>
    <t>р.п. Усть-Абакан</t>
  </si>
  <si>
    <t>рп.Усть-Абакан</t>
  </si>
  <si>
    <t>Итого по Проекту</t>
  </si>
  <si>
    <t>Решением Совета депутатов Усть-Абаканского  поссовета Усть- Абаканского района Республики Хакасия № 43 от 12.10.2012г. «Об утверждении генерального плана  Усть-Абаканского  поссовета Усть-Абаканского района Республики Хакасия»</t>
  </si>
  <si>
    <t>На 2020 - 2022 годы &lt;1&gt;</t>
  </si>
  <si>
    <t>Реестр объектов, включаемых в состав проекта комплексного развития сельских территорий (сельских агломераций)
Усть-Абаканского района Республики Хакасия</t>
  </si>
  <si>
    <t>Федорченко Г.Л. 8(39032) 2-18-52</t>
  </si>
  <si>
    <t>Е.В. Егорова</t>
  </si>
  <si>
    <t>Глава Усть-Абаканского района Республики Хакасия</t>
  </si>
  <si>
    <t>&lt;13&gt; Объем средств внебюджетных источников.</t>
  </si>
  <si>
    <t>&lt;12&gt; Объем средств местных бюджетов.</t>
  </si>
  <si>
    <t>&lt;11&gt; Объем средств бюджета субъекта Российской Федерации.</t>
  </si>
  <si>
    <t>&lt;10&gt; Объем средств федерального бюджета Российской Федерации.</t>
  </si>
  <si>
    <t>&lt;9&gt; При отсутствии положительного заключения государственной экспертизы проектной документации, а также в случаях, когда получение положительного заключения государственной экспертизы проектной документации не предусмотрено, в качестве подтверждение расчета сметной стоимости проекта допускается применение информации о коммерческом предложении, полученного не менее, чем от 2 организаций.</t>
  </si>
  <si>
    <t>&lt;8&gt; В общую стоимость проекта включаются все расходы по созданию объекта, в том числе расходы по разработке исходно-разрешительной и проектно-сметной документации, стоимость экспертизы проектной документации, сметная стоимость объекта, расходы на приобретение автомобильной техники и оборудования, стоимость которых определяется по предварительно полученным коммерческим предложениям.</t>
  </si>
  <si>
    <t>&lt;7&gt; Указывается год начала - год завершения строительства (реконструкции) (заполняется при необходимости).</t>
  </si>
  <si>
    <t>&lt;6&gt; При отсутствии документа указываются сроки его получения (заполняется при необходимости).</t>
  </si>
  <si>
    <t>&lt;5&gt; При отсутствии указывается срок принятия акта или реквизиты решения представительного органа местного самоуправления об отсутствии необходимости разработки генерального плана (заполняется при необходимости).</t>
  </si>
  <si>
    <t>&lt;4&gt; Наименование объекта указывается в соответствии с проектной документацией. Включаются объекты, обеспечивающие комплексное обустройство с учетом имеющейся инфраструктуры в населенном пункте (ближайших населенных пунктах), а также указываются автомобильная техника и оборудование.</t>
  </si>
  <si>
    <t>&lt;3&gt; Указывается муниципальное образование, на территории которого осуществляются реализация Проекта.</t>
  </si>
  <si>
    <t>&lt;2&gt; Применяется сквозная нумерация объектов по всем мероприятиям.</t>
  </si>
  <si>
    <t>&lt;1&gt; Реестры представляются на три года - очередной финансовый год и плановый период. Орган исполнительной власти вправе внести изменения в реестр исходя из объема субсидий, предусмотренного бюджету субъекта Российской Федерации, а также по иным основаниям, установленным нормативным правовым актом субъекта Российской Федерации.</t>
  </si>
  <si>
    <t xml:space="preserve">    --------------------------------</t>
  </si>
  <si>
    <t>не требуется</t>
  </si>
  <si>
    <t>с. Вершино-Биджа</t>
  </si>
  <si>
    <t>Решение Совета депутатов Усть-Абаканского района Республики Хакасия от 11.05.2017г. № 62 «Об утверждении Генерального плана и Правил землепользования и застройки Вершино-Биджинского сельсовета Республики Хакасия»</t>
  </si>
  <si>
    <r>
      <t xml:space="preserve">ВБ </t>
    </r>
    <r>
      <rPr>
        <sz val="10"/>
        <color indexed="8"/>
        <rFont val="Times New Roman"/>
        <family val="1"/>
      </rPr>
      <t>&lt;13&gt;</t>
    </r>
  </si>
  <si>
    <r>
      <t>МБ</t>
    </r>
    <r>
      <rPr>
        <sz val="10"/>
        <color indexed="8"/>
        <rFont val="Times New Roman"/>
        <family val="1"/>
      </rPr>
      <t>&lt;12&gt;</t>
    </r>
  </si>
  <si>
    <r>
      <t>РБ</t>
    </r>
    <r>
      <rPr>
        <sz val="10"/>
        <color indexed="8"/>
        <rFont val="Times New Roman"/>
        <family val="1"/>
      </rPr>
      <t>&lt;11&gt;</t>
    </r>
  </si>
  <si>
    <r>
      <t>ФБ</t>
    </r>
    <r>
      <rPr>
        <sz val="10"/>
        <color indexed="8"/>
        <rFont val="Times New Roman"/>
        <family val="1"/>
      </rPr>
      <t>&lt;10&gt;</t>
    </r>
  </si>
  <si>
    <t xml:space="preserve"> на 2022г., тыс. руб.</t>
  </si>
  <si>
    <r>
      <t xml:space="preserve">Общая стоимость, тыс. руб. </t>
    </r>
    <r>
      <rPr>
        <sz val="10"/>
        <color indexed="8"/>
        <rFont val="Times New Roman"/>
        <family val="1"/>
      </rPr>
      <t>&lt;8&gt;</t>
    </r>
  </si>
  <si>
    <r>
      <t xml:space="preserve">Срок строительства (реконструкции) </t>
    </r>
    <r>
      <rPr>
        <sz val="10"/>
        <color indexed="8"/>
        <rFont val="Times New Roman"/>
        <family val="1"/>
      </rPr>
      <t>&lt;7&gt;</t>
    </r>
  </si>
  <si>
    <r>
      <t xml:space="preserve">Реквизиты положительного заключения государственной экспертизы проектной документации </t>
    </r>
    <r>
      <rPr>
        <sz val="10"/>
        <color indexed="8"/>
        <rFont val="Times New Roman"/>
        <family val="1"/>
      </rPr>
      <t>&lt;6&gt;</t>
    </r>
  </si>
  <si>
    <r>
      <t xml:space="preserve">Наименование объекта </t>
    </r>
    <r>
      <rPr>
        <sz val="10"/>
        <color indexed="8"/>
        <rFont val="Times New Roman"/>
        <family val="1"/>
      </rPr>
      <t>&lt;4&gt;</t>
    </r>
  </si>
  <si>
    <r>
      <t>Наименование муниципального района /городского округа</t>
    </r>
    <r>
      <rPr>
        <sz val="10"/>
        <color indexed="8"/>
        <rFont val="Times New Roman"/>
        <family val="1"/>
      </rPr>
      <t>&lt;3&gt;</t>
    </r>
  </si>
  <si>
    <r>
      <t xml:space="preserve">№ п/п </t>
    </r>
    <r>
      <rPr>
        <sz val="10"/>
        <color indexed="8"/>
        <rFont val="Times New Roman"/>
        <family val="1"/>
      </rPr>
      <t>&lt;2&gt;</t>
    </r>
  </si>
  <si>
    <r>
      <t xml:space="preserve">на 2020-2022 годы </t>
    </r>
    <r>
      <rPr>
        <b/>
        <sz val="8"/>
        <color indexed="8"/>
        <rFont val="Times New Roman"/>
        <family val="1"/>
      </rPr>
      <t>&lt;1&gt;</t>
    </r>
  </si>
  <si>
    <t>Решение Совета депутатов Усть-Абаканского района Республики Хакасия от 11.05.2017г. № 65 «Об утверждении Генерального плана и Правил землепользования и застройки Весенненского сельсовета Республики Хакасия»</t>
  </si>
  <si>
    <t>Решение Совета депутатов Усть-Абаканского района Республики Хакасия от 11.05.2017г. № 61 «Об утверждении Генерального плана и Правил землепользования и застройки Московского сельсовета Республики Хакасия»</t>
  </si>
  <si>
    <r>
      <rPr>
        <b/>
        <u val="single"/>
        <sz val="14"/>
        <color indexed="8"/>
        <rFont val="Times New Roman"/>
        <family val="1"/>
      </rPr>
      <t xml:space="preserve">на 2020-2022 годы </t>
    </r>
    <r>
      <rPr>
        <b/>
        <u val="single"/>
        <sz val="8"/>
        <color indexed="8"/>
        <rFont val="Times New Roman"/>
        <family val="1"/>
      </rPr>
      <t>&lt;1&gt;</t>
    </r>
  </si>
  <si>
    <t>Республика Хакасия</t>
  </si>
  <si>
    <t>1. Строительство, реконструкция, модернизация и капитальный ремонт объектов социальной и культурной сферы</t>
  </si>
  <si>
    <t>3. Приобретение новой автомобильной техники и оборудования для обеспечения функционирования существующих объектов социальной и культурной сферы</t>
  </si>
  <si>
    <t>2. Приобретение новой автомобильной техники и оборудования для обеспечения функционирования существующих объектов социальной и культурной сферы</t>
  </si>
  <si>
    <t>4. Развитие водоснабжения</t>
  </si>
  <si>
    <r>
      <t xml:space="preserve">ФБ </t>
    </r>
    <r>
      <rPr>
        <sz val="10"/>
        <color indexed="8"/>
        <rFont val="Times New Roman"/>
        <family val="1"/>
      </rPr>
      <t>&lt;10&gt;</t>
    </r>
  </si>
  <si>
    <r>
      <t xml:space="preserve">РБ </t>
    </r>
    <r>
      <rPr>
        <sz val="10"/>
        <color indexed="8"/>
        <rFont val="Times New Roman"/>
        <family val="1"/>
      </rPr>
      <t>&lt;11&gt;</t>
    </r>
  </si>
  <si>
    <r>
      <t xml:space="preserve">МБ </t>
    </r>
    <r>
      <rPr>
        <sz val="10"/>
        <color indexed="8"/>
        <rFont val="Times New Roman"/>
        <family val="1"/>
      </rPr>
      <t>&lt;12&gt;</t>
    </r>
  </si>
  <si>
    <r>
      <t xml:space="preserve">Наименование муниципального района /городского округа </t>
    </r>
    <r>
      <rPr>
        <sz val="10"/>
        <color indexed="8"/>
        <rFont val="Times New Roman"/>
        <family val="1"/>
      </rPr>
      <t>&lt;3&gt;</t>
    </r>
  </si>
  <si>
    <t>рп Усть-Абакан</t>
  </si>
  <si>
    <t>2. Развитие энергообеспечения</t>
  </si>
  <si>
    <t>3. Развитие энергообеспечения</t>
  </si>
  <si>
    <t>На 2020-2020 годы &lt;1&gt;</t>
  </si>
  <si>
    <t>На 2020-2022 годы &lt;1&gt;</t>
  </si>
  <si>
    <t>Решение Совета депутатов Усть-Абаканского района от 02. 03.2017 № 37  «Об утверждении Генерального плана и Правил землепользования и застройки Доможаковского сельсовета Усть-Абаканского района Республики Хакасия»</t>
  </si>
  <si>
    <t>Комплексное развитие села Вершино-Биджа Вершино-Биджинского сельсовета Усть-Абаканского района</t>
  </si>
  <si>
    <t>Комплексное развитие р.п. Усть-Абакан Усть-Абаканского района</t>
  </si>
  <si>
    <t>Комплексное развитие села Весеннее Весенненского сельсовета Усть-Абаканского района</t>
  </si>
  <si>
    <t>Комплексное развитие Московского сельсовета Усть-Абаканского района</t>
  </si>
  <si>
    <t>Комплексное развитие Расцветовского сельсовета Усть-Абаканского района</t>
  </si>
  <si>
    <t>Комплексное развитие Калининского сельсовета Усть-Абаканского района</t>
  </si>
  <si>
    <t>Комплексное развитие Доможаковского сельсовета Усть-Абаканского район</t>
  </si>
  <si>
    <t>3. Развитие энергообеспечения.</t>
  </si>
  <si>
    <t>Решение Совета депутатов Усть-Абаканского района от 02.02.2017 № 39  «Об утверждении Генерального плана и Правил землепользования и застройки Райковского сельсовета Усть-Абаканского района Республики Хакасия»</t>
  </si>
  <si>
    <r>
      <t>ВБ</t>
    </r>
    <r>
      <rPr>
        <sz val="8"/>
        <color indexed="8"/>
        <rFont val="Times New Roman"/>
        <family val="1"/>
      </rPr>
      <t>&lt;13&gt;</t>
    </r>
  </si>
  <si>
    <r>
      <t>МБ</t>
    </r>
    <r>
      <rPr>
        <sz val="8"/>
        <color indexed="8"/>
        <rFont val="Times New Roman"/>
        <family val="1"/>
      </rPr>
      <t>&lt;12&gt;</t>
    </r>
  </si>
  <si>
    <r>
      <t>РБ</t>
    </r>
    <r>
      <rPr>
        <sz val="8"/>
        <color indexed="8"/>
        <rFont val="Times New Roman"/>
        <family val="1"/>
      </rPr>
      <t>&lt;11&gt;</t>
    </r>
  </si>
  <si>
    <r>
      <t>ФБ</t>
    </r>
    <r>
      <rPr>
        <sz val="8"/>
        <color indexed="8"/>
        <rFont val="Times New Roman"/>
        <family val="1"/>
      </rPr>
      <t>&lt;10&gt;</t>
    </r>
  </si>
  <si>
    <r>
      <t xml:space="preserve">Общая стоимость, тыс. руб. </t>
    </r>
    <r>
      <rPr>
        <sz val="8"/>
        <color indexed="8"/>
        <rFont val="Times New Roman"/>
        <family val="1"/>
      </rPr>
      <t>&lt;8&gt;</t>
    </r>
  </si>
  <si>
    <r>
      <t xml:space="preserve">Срок строительства (реконструкции) </t>
    </r>
    <r>
      <rPr>
        <sz val="8"/>
        <color indexed="8"/>
        <rFont val="Times New Roman"/>
        <family val="1"/>
      </rPr>
      <t>&lt;7&gt;</t>
    </r>
  </si>
  <si>
    <r>
      <t xml:space="preserve">Реквизиты положительного заключения государственной экспертизы проектной документации </t>
    </r>
    <r>
      <rPr>
        <sz val="8"/>
        <color indexed="8"/>
        <rFont val="Times New Roman"/>
        <family val="1"/>
      </rPr>
      <t>&lt;6&gt;</t>
    </r>
  </si>
  <si>
    <r>
      <t xml:space="preserve">Наименование объекта </t>
    </r>
    <r>
      <rPr>
        <sz val="8"/>
        <color indexed="8"/>
        <rFont val="Times New Roman"/>
        <family val="1"/>
      </rPr>
      <t>&lt;4&gt;</t>
    </r>
  </si>
  <si>
    <r>
      <t>Наименование муниципального района /городского округа</t>
    </r>
    <r>
      <rPr>
        <sz val="8"/>
        <color indexed="8"/>
        <rFont val="Times New Roman"/>
        <family val="1"/>
      </rPr>
      <t>&lt;3&gt;</t>
    </r>
  </si>
  <si>
    <r>
      <t xml:space="preserve">№ п/п </t>
    </r>
    <r>
      <rPr>
        <sz val="8"/>
        <color indexed="8"/>
        <rFont val="Times New Roman"/>
        <family val="1"/>
      </rPr>
      <t>&lt;2&gt;</t>
    </r>
  </si>
  <si>
    <r>
      <t xml:space="preserve">на 2020-2022 годы </t>
    </r>
    <r>
      <rPr>
        <b/>
        <sz val="8"/>
        <color indexed="8"/>
        <rFont val="Times New Roman"/>
        <family val="1"/>
      </rPr>
      <t>&lt;1&gt;</t>
    </r>
  </si>
  <si>
    <t>Комплексное развитие аала Райков Райковского сельсовета Усть-Абаканского района</t>
  </si>
  <si>
    <t>Комплексное развитие Чарковского сельсовета Усть-Абаканского района Республики Хакасия</t>
  </si>
  <si>
    <r>
      <t xml:space="preserve">№ п/п </t>
    </r>
    <r>
      <rPr>
        <sz val="8"/>
        <color indexed="8"/>
        <rFont val="Times New Roman"/>
        <family val="1"/>
      </rPr>
      <t>&lt;2&gt;</t>
    </r>
  </si>
  <si>
    <r>
      <t>Наименование муниципального района /городского округа</t>
    </r>
    <r>
      <rPr>
        <sz val="8"/>
        <color indexed="8"/>
        <rFont val="Times New Roman"/>
        <family val="1"/>
      </rPr>
      <t>&lt;3&gt;</t>
    </r>
  </si>
  <si>
    <r>
      <t xml:space="preserve">Наименование объекта </t>
    </r>
    <r>
      <rPr>
        <sz val="8"/>
        <color indexed="8"/>
        <rFont val="Times New Roman"/>
        <family val="1"/>
      </rPr>
      <t>&lt;4&gt;</t>
    </r>
  </si>
  <si>
    <r>
      <t xml:space="preserve">Реквизиты положительного заключения государственной экспертизы проектной документации </t>
    </r>
    <r>
      <rPr>
        <sz val="8"/>
        <color indexed="8"/>
        <rFont val="Times New Roman"/>
        <family val="1"/>
      </rPr>
      <t>&lt;6&gt;</t>
    </r>
  </si>
  <si>
    <r>
      <t xml:space="preserve">Срок строительства (реконструкции) </t>
    </r>
    <r>
      <rPr>
        <sz val="8"/>
        <color indexed="8"/>
        <rFont val="Times New Roman"/>
        <family val="1"/>
      </rPr>
      <t>&lt;7&gt;</t>
    </r>
  </si>
  <si>
    <r>
      <t xml:space="preserve">Общая стоимость, тыс. руб. </t>
    </r>
    <r>
      <rPr>
        <sz val="8"/>
        <color indexed="8"/>
        <rFont val="Times New Roman"/>
        <family val="1"/>
      </rPr>
      <t>&lt;8&gt;</t>
    </r>
  </si>
  <si>
    <r>
      <t>ФБ</t>
    </r>
    <r>
      <rPr>
        <sz val="8"/>
        <color indexed="8"/>
        <rFont val="Times New Roman"/>
        <family val="1"/>
      </rPr>
      <t>&lt;10&gt;</t>
    </r>
  </si>
  <si>
    <r>
      <t>РБ</t>
    </r>
    <r>
      <rPr>
        <sz val="8"/>
        <color indexed="8"/>
        <rFont val="Times New Roman"/>
        <family val="1"/>
      </rPr>
      <t>&lt;11&gt;</t>
    </r>
  </si>
  <si>
    <r>
      <t>МБ</t>
    </r>
    <r>
      <rPr>
        <sz val="8"/>
        <color indexed="8"/>
        <rFont val="Times New Roman"/>
        <family val="1"/>
      </rPr>
      <t>&lt;12&gt;</t>
    </r>
  </si>
  <si>
    <r>
      <t>ВБ</t>
    </r>
    <r>
      <rPr>
        <sz val="8"/>
        <color indexed="8"/>
        <rFont val="Times New Roman"/>
        <family val="1"/>
      </rPr>
      <t>&lt;13&gt;</t>
    </r>
  </si>
  <si>
    <t>3.Развитие энергосбережения</t>
  </si>
  <si>
    <t>Усть-Абаканнский поссовет</t>
  </si>
  <si>
    <t>Вершино-Биджинский сельсовет</t>
  </si>
  <si>
    <t>Весенненский сельсовет</t>
  </si>
  <si>
    <t>Московский сельсовет</t>
  </si>
  <si>
    <t>Расцветовский сельсовет</t>
  </si>
  <si>
    <t>Калининский сельсовет</t>
  </si>
  <si>
    <t>Доможаковский сельсовет</t>
  </si>
  <si>
    <t>Райковский сельсовет</t>
  </si>
  <si>
    <t>Чарковский сельсовет</t>
  </si>
  <si>
    <t>3. Развитие водоснабжения</t>
  </si>
  <si>
    <t>Опытненский сельсовет</t>
  </si>
  <si>
    <t>Комплексное развитие села Зеленое Опытненского сельсовета Усть-Абаканского района Республики Хакасия</t>
  </si>
  <si>
    <r>
      <t xml:space="preserve">№ п/п </t>
    </r>
    <r>
      <rPr>
        <sz val="14"/>
        <color indexed="8"/>
        <rFont val="Times New Roman"/>
        <family val="1"/>
      </rPr>
      <t>&lt;2&gt;</t>
    </r>
  </si>
  <si>
    <r>
      <t xml:space="preserve">Наименование муниципального района /городского округа </t>
    </r>
    <r>
      <rPr>
        <sz val="14"/>
        <color indexed="8"/>
        <rFont val="Times New Roman"/>
        <family val="1"/>
      </rPr>
      <t>&lt;3&gt;</t>
    </r>
  </si>
  <si>
    <r>
      <t xml:space="preserve">Наименование объекта </t>
    </r>
    <r>
      <rPr>
        <sz val="14"/>
        <color indexed="8"/>
        <rFont val="Times New Roman"/>
        <family val="1"/>
      </rPr>
      <t>&lt;4&gt;</t>
    </r>
  </si>
  <si>
    <r>
      <t xml:space="preserve">Реквизиты положительного заключения государственной экспертизы проектной документации </t>
    </r>
    <r>
      <rPr>
        <sz val="14"/>
        <color indexed="8"/>
        <rFont val="Times New Roman"/>
        <family val="1"/>
      </rPr>
      <t>&lt;6&gt;</t>
    </r>
  </si>
  <si>
    <r>
      <t xml:space="preserve">Срок строительства (реконструкции) </t>
    </r>
    <r>
      <rPr>
        <sz val="14"/>
        <color indexed="8"/>
        <rFont val="Times New Roman"/>
        <family val="1"/>
      </rPr>
      <t>&lt;7&gt;</t>
    </r>
  </si>
  <si>
    <r>
      <t xml:space="preserve">Общая стоимость, тыс. руб. </t>
    </r>
    <r>
      <rPr>
        <sz val="14"/>
        <color indexed="8"/>
        <rFont val="Times New Roman"/>
        <family val="1"/>
      </rPr>
      <t>&lt;8&gt;</t>
    </r>
  </si>
  <si>
    <r>
      <t xml:space="preserve">ФБ </t>
    </r>
    <r>
      <rPr>
        <sz val="14"/>
        <color indexed="8"/>
        <rFont val="Times New Roman"/>
        <family val="1"/>
      </rPr>
      <t>&lt;10&gt;</t>
    </r>
  </si>
  <si>
    <r>
      <t xml:space="preserve">РБ </t>
    </r>
    <r>
      <rPr>
        <sz val="14"/>
        <color indexed="8"/>
        <rFont val="Times New Roman"/>
        <family val="1"/>
      </rPr>
      <t>&lt;11&gt;</t>
    </r>
  </si>
  <si>
    <r>
      <t xml:space="preserve">МБ </t>
    </r>
    <r>
      <rPr>
        <sz val="14"/>
        <color indexed="8"/>
        <rFont val="Times New Roman"/>
        <family val="1"/>
      </rPr>
      <t>&lt;12&gt;</t>
    </r>
  </si>
  <si>
    <r>
      <t xml:space="preserve">ВБ </t>
    </r>
    <r>
      <rPr>
        <sz val="14"/>
        <color indexed="8"/>
        <rFont val="Times New Roman"/>
        <family val="1"/>
      </rPr>
      <t>&lt;13&gt;</t>
    </r>
  </si>
  <si>
    <r>
      <t xml:space="preserve">№ п/п </t>
    </r>
    <r>
      <rPr>
        <sz val="9"/>
        <color indexed="8"/>
        <rFont val="Times New Roman"/>
        <family val="1"/>
      </rPr>
      <t>&lt;2&gt;</t>
    </r>
  </si>
  <si>
    <r>
      <t>Наименование муниципального района /городского округа</t>
    </r>
    <r>
      <rPr>
        <sz val="9"/>
        <color indexed="8"/>
        <rFont val="Times New Roman"/>
        <family val="1"/>
      </rPr>
      <t>&lt;3&gt;</t>
    </r>
  </si>
  <si>
    <r>
      <t xml:space="preserve">Наименование объекта </t>
    </r>
    <r>
      <rPr>
        <sz val="9"/>
        <color indexed="8"/>
        <rFont val="Times New Roman"/>
        <family val="1"/>
      </rPr>
      <t>&lt;4&gt;</t>
    </r>
  </si>
  <si>
    <r>
      <t xml:space="preserve">Реквизиты положительного заключения государственной экспертизы проектной документации </t>
    </r>
    <r>
      <rPr>
        <sz val="9"/>
        <color indexed="8"/>
        <rFont val="Times New Roman"/>
        <family val="1"/>
      </rPr>
      <t>&lt;6&gt;</t>
    </r>
  </si>
  <si>
    <r>
      <t xml:space="preserve">Срок строительства (реконструкции) </t>
    </r>
    <r>
      <rPr>
        <sz val="9"/>
        <color indexed="8"/>
        <rFont val="Times New Roman"/>
        <family val="1"/>
      </rPr>
      <t>&lt;7&gt;</t>
    </r>
  </si>
  <si>
    <r>
      <t xml:space="preserve">Общая стоимость, тыс. руб. </t>
    </r>
    <r>
      <rPr>
        <sz val="9"/>
        <color indexed="8"/>
        <rFont val="Times New Roman"/>
        <family val="1"/>
      </rPr>
      <t>&lt;8&gt;</t>
    </r>
  </si>
  <si>
    <r>
      <t>ФБ</t>
    </r>
    <r>
      <rPr>
        <sz val="9"/>
        <color indexed="8"/>
        <rFont val="Times New Roman"/>
        <family val="1"/>
      </rPr>
      <t>&lt;10&gt;</t>
    </r>
  </si>
  <si>
    <r>
      <t>РБ</t>
    </r>
    <r>
      <rPr>
        <sz val="9"/>
        <color indexed="8"/>
        <rFont val="Times New Roman"/>
        <family val="1"/>
      </rPr>
      <t>&lt;11&gt;</t>
    </r>
  </si>
  <si>
    <r>
      <t>МБ</t>
    </r>
    <r>
      <rPr>
        <sz val="9"/>
        <color indexed="8"/>
        <rFont val="Times New Roman"/>
        <family val="1"/>
      </rPr>
      <t>&lt;12&gt;</t>
    </r>
  </si>
  <si>
    <r>
      <t>ВБ</t>
    </r>
    <r>
      <rPr>
        <sz val="9"/>
        <color indexed="8"/>
        <rFont val="Times New Roman"/>
        <family val="1"/>
      </rPr>
      <t>&lt;13&gt;</t>
    </r>
  </si>
  <si>
    <t>4 Развитие жилищно-коммунальных объектов</t>
  </si>
  <si>
    <t>Комплексное развитие села Усть-Бюр Усть-Бюрского сельсовета Усть-Абаканского района</t>
  </si>
  <si>
    <t>Решение Совета депутатов Усть-Абаканского района Республики Хакасия от 11.05.2017г. № 63 «Об утверждении Генерального плана и Правил землепользования и застройки Усть-Бюрского сельсовета Республики Хакасия»</t>
  </si>
  <si>
    <t>Усть-Бюрский сельсовет</t>
  </si>
  <si>
    <t>Общая стоимость проекта, тыс. руб.</t>
  </si>
  <si>
    <t>БЮДЖЕТНАЯ ЗАЯВКА</t>
  </si>
  <si>
    <t>на предоставление субсидий из федерального бюджета на реализацию проектов комплексного развития сельских территорий (сельских агломераций)</t>
  </si>
  <si>
    <r>
      <t xml:space="preserve">на </t>
    </r>
    <r>
      <rPr>
        <b/>
        <sz val="14"/>
        <color indexed="8"/>
        <rFont val="Times New Roman"/>
        <family val="1"/>
      </rPr>
      <t>2020-2022</t>
    </r>
    <r>
      <rPr>
        <sz val="14"/>
        <color indexed="8"/>
        <rFont val="Times New Roman"/>
        <family val="1"/>
      </rPr>
      <t xml:space="preserve"> годы &lt;1&gt;</t>
    </r>
  </si>
  <si>
    <t>Наименование проекта</t>
  </si>
  <si>
    <r>
      <t xml:space="preserve">Комплексное развитие села Вершино-Биджа </t>
    </r>
    <r>
      <rPr>
        <b/>
        <sz val="14"/>
        <color indexed="8"/>
        <rFont val="Times New Roman"/>
        <family val="1"/>
      </rPr>
      <t>Вершино-Биджинского сельсовета</t>
    </r>
    <r>
      <rPr>
        <sz val="14"/>
        <color indexed="8"/>
        <rFont val="Times New Roman"/>
        <family val="1"/>
      </rPr>
      <t xml:space="preserve"> Усть-Абаканского района Республики Хакасия</t>
    </r>
  </si>
  <si>
    <r>
      <t xml:space="preserve">Комплексное развитие села Весеннее </t>
    </r>
    <r>
      <rPr>
        <b/>
        <sz val="14"/>
        <color indexed="8"/>
        <rFont val="Times New Roman"/>
        <family val="1"/>
      </rPr>
      <t xml:space="preserve">Весенненского сельсовета </t>
    </r>
    <r>
      <rPr>
        <sz val="14"/>
        <color indexed="8"/>
        <rFont val="Times New Roman"/>
        <family val="1"/>
      </rPr>
      <t>Усть-Абаканского района Республики Хакасия</t>
    </r>
  </si>
  <si>
    <t>Комплексное развитие Доможаковского сельсовета Усть-Абаканского район Республики Хакасия</t>
  </si>
  <si>
    <t>Комплексное развитие Калининского сельсовета Усть-Абаканского район Республики Хакасия</t>
  </si>
  <si>
    <t>Комплексное развитие Московского сельсовета Усть-Абаканского район Республики Хакасия</t>
  </si>
  <si>
    <r>
      <t xml:space="preserve">Комплексное развитие села Зеленое </t>
    </r>
    <r>
      <rPr>
        <b/>
        <sz val="14"/>
        <color indexed="8"/>
        <rFont val="Times New Roman"/>
        <family val="1"/>
      </rPr>
      <t xml:space="preserve">Опытненского сельсовета </t>
    </r>
    <r>
      <rPr>
        <sz val="14"/>
        <color indexed="8"/>
        <rFont val="Times New Roman"/>
        <family val="1"/>
      </rPr>
      <t xml:space="preserve"> Усть-Абаканского район Республики Хакасия</t>
    </r>
  </si>
  <si>
    <t xml:space="preserve">Комплексное развитие аала Райков Райковского сельсовета  Усть-Абаканского район Республики Хакасия </t>
  </si>
  <si>
    <t>Комплексное развитие Расцветовского сельсовета Усть-Абаканского район Республики Хакасия</t>
  </si>
  <si>
    <t>Комплексное развитие р.п. Усть-Абакан Усть-Абаканского район Республики Хакасия</t>
  </si>
  <si>
    <t>Комплексное развитие села Усть-Бюр Усть-Бюрского сельсовета Усть-Абаканского район Республики Хакасия</t>
  </si>
  <si>
    <t>Комплексное развитие Чарковского сельсовета Усть-Абаканского район Республики Хакасия</t>
  </si>
  <si>
    <t>Капитальный ремонт Вершино-Биджинского сельского дома культуры</t>
  </si>
  <si>
    <t>Решение Совета депутатов Усть-Абаканского района Республики Хакасия от 11.05.2017г. № 62 «Об утверждении Генерального плана и Правил землепользования и застройки Вершино-Биджинского сельсовета Республики Хакасия</t>
  </si>
  <si>
    <t>Приобретение санитарного транспорта для Вершино-Биджинской амбулатории</t>
  </si>
  <si>
    <t>с. Весеннее</t>
  </si>
  <si>
    <t>Капитальный ремонт спортивного комплекса «Юность»</t>
  </si>
  <si>
    <t>Муниципальное образование Усть-Абаканский район</t>
  </si>
  <si>
    <t>с. Калинино</t>
  </si>
  <si>
    <t>Капитальный ремонт Культурно-досуговый центр «Центр»</t>
  </si>
  <si>
    <t>с.Калинино</t>
  </si>
  <si>
    <t>Приобретение санитарного транспорта</t>
  </si>
  <si>
    <t>с. Московское</t>
  </si>
  <si>
    <t>Капитальный ремонт Московский сельский дом культуры</t>
  </si>
  <si>
    <t>аал Райков</t>
  </si>
  <si>
    <t xml:space="preserve">Приобретение медицинского оборудования  </t>
  </si>
  <si>
    <t>п.Расцвет</t>
  </si>
  <si>
    <t>Реконструкция здания сельского Дома культуры</t>
  </si>
  <si>
    <t>Строительство универсального спортивного зала</t>
  </si>
  <si>
    <t>Капитальный ремонт Дома Культуры им. Ю.А. Гагарина</t>
  </si>
  <si>
    <t>Капитальный ремонт Районного Дома Культуры "Дружба"</t>
  </si>
  <si>
    <t>Капитальный ремонт историко-краеведческого музея</t>
  </si>
  <si>
    <t>Капитальный ремонт Усть-Абаканской спортивной школы</t>
  </si>
  <si>
    <t>с. Усть-Бюр</t>
  </si>
  <si>
    <t>Капитальный ремонт Усть-Бюрский сельский Дом культуры</t>
  </si>
  <si>
    <t>аал Чарков</t>
  </si>
  <si>
    <t>Капитальный ремонт сельского дома культуры</t>
  </si>
  <si>
    <t>Капитальный ремонт Усть-Абаканской средней общеобразовательной школы</t>
  </si>
  <si>
    <t>Приобретение учебной мебели, компьютеров для Усть-Абаканской средней общеобразовательной школы</t>
  </si>
  <si>
    <t>Приобретение автобуса в Усть-Абаканскую спортивную школу</t>
  </si>
  <si>
    <t>с .Зеленое</t>
  </si>
  <si>
    <t>Капитальный ремонт Райковского сельского дома культуры</t>
  </si>
  <si>
    <t>аал Доможаков</t>
  </si>
  <si>
    <t>п. Расцвет</t>
  </si>
  <si>
    <t>Строительство уличных сетей освещения на земельных массивах, в том числе предоставленных льготной категории граждан для ИЖС</t>
  </si>
  <si>
    <t>аал Ах-Хол</t>
  </si>
  <si>
    <t xml:space="preserve">Монтаж электрооборудования уличного освещения в аале Ах-Хол Чарковского сельсовета </t>
  </si>
  <si>
    <t>с.Калинино 1</t>
  </si>
  <si>
    <t>Решение Совета депутатов Усть-Абаканского района от 29. 03.2018 № 13  «Об утверждении Генерального плана и Правил землепользования и застройки Калининского сельсовета Усть-Абаканского района Республики Хакасия»</t>
  </si>
  <si>
    <t>Приобретение автобуса для Расцветской средней общеобразовательной школы</t>
  </si>
  <si>
    <t>п.Тепличный</t>
  </si>
  <si>
    <t>Решение Совета депутатов Усть-Абаканского района от 11.05.2017 № 64 «Об утверждении Генерального плана и Правил землепользования и застройки Чарковского сельсовета Усть-Абаканского района Республики Хакасия»</t>
  </si>
  <si>
    <t>Приобретение учебной мебели, компьютеров для Чарковской средней общеобразовательной школы</t>
  </si>
  <si>
    <t>Спортивная площадка  Усть-Абаканская средняя общеобразовательная школа корпус 1</t>
  </si>
  <si>
    <t>Спортивная площадка  Усть-Абаканская средняя общеобразовательная школа корпус 2</t>
  </si>
  <si>
    <t>Спортивная площадка Усть-Абаканская  спортивная школа</t>
  </si>
  <si>
    <t>Приобретение автобуса для Усть-Абаканской средняя общеобразовательная школа</t>
  </si>
  <si>
    <t>Капитальный ремонт  Вершино-Биджинской средней общеобразовательной школы</t>
  </si>
  <si>
    <t xml:space="preserve">Строительство уличных сетей освещения в селе Вершино-Биджа </t>
  </si>
  <si>
    <t>Приобретение автобуса для Вершино-Биджинской средней общеобразовательной школы</t>
  </si>
  <si>
    <t>Приобретение учебной мебели, компьютеров Вершино-Биджинской средней общеобразовательной школы</t>
  </si>
  <si>
    <t>Капитальный ремонт Весенненской средней общеобразовательной школы</t>
  </si>
  <si>
    <t>Приобретение учебной мебели, компьютеров для Весенненской средней общеобразовательной школы</t>
  </si>
  <si>
    <t>Приобретение учебной мебели и компьютеров для Доможаковской средней общеобразовательной школы</t>
  </si>
  <si>
    <t>Приобретение учебной мебели, компьютеров для Калининской средней общеобразовательной школы</t>
  </si>
  <si>
    <t>Капитальный ремонт  Московской средней общеобразовательной школы</t>
  </si>
  <si>
    <t>Приобретение учебной мебели, компьютеров Опытненская средней общеобразовательной школы</t>
  </si>
  <si>
    <t>Капитальный ремонт Райковской средней общеобразовательной школы</t>
  </si>
  <si>
    <t>Капитальный ремонт Расцветской средней общеобразовательной школы</t>
  </si>
  <si>
    <t>Приобретение автобуса для Усть-Бюрской средней общеобразовательной школы</t>
  </si>
  <si>
    <t>Приобретение учебной мебели, компьютеров Усть-Бюрской средней общеобразовательной школы</t>
  </si>
  <si>
    <t>Капитальный ремонт здания Доможаковского Культурно-дусугового центра</t>
  </si>
  <si>
    <t>Приобретение  медицинского оборудования для Калининской амбулатории</t>
  </si>
  <si>
    <t>Капитальный ремонт здания Дома Культуры "Колос"</t>
  </si>
  <si>
    <t>Решение Совета депутатов Усть-Абаканского района Республики Хакасия от 15.06.2017г. № 73 «Об утверждении Генерального плана и Правил землепользования и застройки Опытненского сельсовета Республики Хакасия»</t>
  </si>
  <si>
    <t>Решение Совета депутатов Усть-Абаканского района Республики Хакасия от 15.06.2017г. № 75 «Об утверждении Генерального плана и Правил землепользования и застройки Расцветовского сельсовета Республики Хакасия»</t>
  </si>
  <si>
    <t>Блочно-модульная автоматическая угольная котельная для Чарковской средней общеобразовательной школы</t>
  </si>
  <si>
    <t>Монтаж электрооборудования уличного освещения пос. Оросительный</t>
  </si>
  <si>
    <t>Монтаж освещения аал Тутатчиков</t>
  </si>
  <si>
    <t>Типовой комплект. Коммерческое предложение</t>
  </si>
  <si>
    <t>3. Развитие жилищно-коммунальных объектов</t>
  </si>
  <si>
    <t>Блочно-модульная автоматическая угольная котельная для Усть-Бюрской средней общеобразовательной школы</t>
  </si>
  <si>
    <t>с.Калинино 3</t>
  </si>
  <si>
    <t>Монтаж уличного освещения в аале Чарков</t>
  </si>
  <si>
    <t>Типовой проект. Коммерческое предложение</t>
  </si>
  <si>
    <t>Типовой проект.  Коммерческое предложение</t>
  </si>
  <si>
    <t>Приобретение санитарного транспорта для Калининской амбулатории (2 шт)</t>
  </si>
  <si>
    <t>Подкачивающая насосная станция водопровода центра рп. Усть-Абакан</t>
  </si>
  <si>
    <t>Подготовка сметы и экспертизы до 01.10.2019 (объявлен аукцион)</t>
  </si>
  <si>
    <t>Спортивная площадка на стадионе Вершино-Биджинской средней общеобразовательной школы</t>
  </si>
  <si>
    <t>Капитальный ремонт Культурно Досугового Центра «Имидж»</t>
  </si>
  <si>
    <t>Смета на экспертизе до 01.09.2020 (гарантийное письмо)</t>
  </si>
  <si>
    <t>Спортивная площадка на территории  спортивного комплекса "Ермак"</t>
  </si>
  <si>
    <t>Спортивная площадка на территории спорткомплекса "Юность"</t>
  </si>
  <si>
    <t>Замена электрооборудования уличного освещения в аал Доможаков</t>
  </si>
  <si>
    <t>Капитальный ремонт здания Сельского Клуба аал Тутатчиков</t>
  </si>
  <si>
    <t>Монтаж уличного освещения п.Ильича</t>
  </si>
  <si>
    <t>аал Тутатчиков</t>
  </si>
  <si>
    <t>поселок Оросительный</t>
  </si>
  <si>
    <t>поселок Имени Ильича</t>
  </si>
  <si>
    <t>Спортивная площадка приклубная территория Опытненского Сельского Дома Культуры</t>
  </si>
  <si>
    <t>Смета по типовому проекту. Экспертиза Минздрава РХ</t>
  </si>
  <si>
    <t>Строительство здания врачебной амбулатории с. Калинино ул. Школьная</t>
  </si>
  <si>
    <t>Строительство здания врачебной амбулатории с. Калинино ул. Рублева</t>
  </si>
  <si>
    <t>Спортивная площадка стадион Чарковской средней общеобразовательной школы</t>
  </si>
  <si>
    <t>Приобретение автобуса  для Дома культуры</t>
  </si>
  <si>
    <t>Смета есть.                   Экспертиза будут представлены                        до 01.09.2019 (гарантийное письмо)</t>
  </si>
  <si>
    <t>Приобретение автобуса для Усть-Бюрского Сельского Дома культуры</t>
  </si>
  <si>
    <t>Спортивная площадка территория Усть-Бюрский сельский Дом культуры</t>
  </si>
  <si>
    <t>ОЦЕНКА</t>
  </si>
  <si>
    <t>Проектов комплексного развития сельских территорий (сельских агломераций) по критериям</t>
  </si>
  <si>
    <t>№ п/п</t>
  </si>
  <si>
    <t>Наименование субъекта Российской Федерации</t>
  </si>
  <si>
    <t>Название проекта</t>
  </si>
  <si>
    <t>Наименование критерия, балл</t>
  </si>
  <si>
    <t xml:space="preserve">Сумма баллов по критериям (Sбцi) </t>
  </si>
  <si>
    <t>Доля внебюджетных средств в общей стоимости проекта комплексного развития сельских территорий (сельских агломераций)</t>
  </si>
  <si>
    <t>Срок реализации проекта комплексного развития сельских территорий (сельских агломераций)</t>
  </si>
  <si>
    <t>Доля жителей сельских территорий (сельских агломераций), где планируется реализация проекта комплексного развития сельских территорий (сельских агломераций), поддержавших его реализацию, по итогам общественного обсуждения</t>
  </si>
  <si>
    <t>Уровень занятости населения, проживающего на сельских территориях (сельских агломерациях), где планируется реализация проекта комплексного развития сельских территорий (сельских агломераций)</t>
  </si>
  <si>
    <t>Доля трудоспособного населения в общей численности населения сельских территорий (сельских агломераций), где планируется реализация проекта комплексного развития сельских территорий (сельских агломераций)</t>
  </si>
  <si>
    <t>Доля постоянных рабочих мест, планируемых к созданию на сельских территориях (сельских агломерациях) в период реализации Государственной программы</t>
  </si>
  <si>
    <t>Соотношение среднемесячных располагаемых ресурсов сельского и городского домохозяйств субъекта Российской Федерации, где планируется реализация проекта комплексного развития сельских территорий (сельских агломераций)</t>
  </si>
  <si>
    <t>ВЕС КРИТЕРИЕВ</t>
  </si>
  <si>
    <t>X</t>
  </si>
  <si>
    <r>
      <t xml:space="preserve">Комплексное развитие </t>
    </r>
    <r>
      <rPr>
        <sz val="10"/>
        <color indexed="8"/>
        <rFont val="Times New Roman"/>
        <family val="1"/>
      </rPr>
      <t>Вершино-Биджинского сельсовета Усть-Абаканского района Республики Хакасия</t>
    </r>
  </si>
  <si>
    <r>
      <t xml:space="preserve">Комплексное развитие </t>
    </r>
    <r>
      <rPr>
        <sz val="10"/>
        <color indexed="8"/>
        <rFont val="Times New Roman"/>
        <family val="1"/>
      </rPr>
      <t>Весенненского сельсовета Усть-Абаканского района Республики Хакасия</t>
    </r>
  </si>
  <si>
    <r>
      <t xml:space="preserve">Комплексное развитие </t>
    </r>
    <r>
      <rPr>
        <sz val="10"/>
        <color indexed="8"/>
        <rFont val="Times New Roman"/>
        <family val="1"/>
      </rPr>
      <t>Опытненского сельсовета  Усть-Абаканского район Республики Хакасия</t>
    </r>
  </si>
  <si>
    <t xml:space="preserve">Комплексное развитие Райковского сельсовета  Усть-Абаканского район Республики Хакасия </t>
  </si>
  <si>
    <t>Комплексное развитие Усть-Бюрского сельсовета Усть-Абаканского район Республики Хакасия</t>
  </si>
  <si>
    <t xml:space="preserve"> Экспертиза будет представлена до 01.09.2019 (гарантийное письмо)</t>
  </si>
  <si>
    <t xml:space="preserve"> Экспертиза сметы будет представлена  до 01.09.2019 (гарантийное письмо)</t>
  </si>
  <si>
    <t>Экспертиза будет представлена  до 01.09.2019 (гарантийное письмо)</t>
  </si>
  <si>
    <t>Спортивная площадка территория ФАП</t>
  </si>
  <si>
    <t>Заключение Отдела Регионального центра по ценообразованию в строительстве Республики Хакасия от 19.07.2019 № 19-00492-19</t>
  </si>
  <si>
    <t>Приобретение автобуса для начальной школы-детского сада "Росток"</t>
  </si>
  <si>
    <t>Приобретение медицинского оборудования для амбулатории</t>
  </si>
  <si>
    <t>Положительное заключение от 07.02.2019 № 19-1-0002-19 АУ РХ "Государственная экспертиза Республики Хакасия"</t>
  </si>
  <si>
    <t>Заключение Отдела по ценообразованию в строительстве Республики Хакасия от 25.04.2019 № 19-00226-19</t>
  </si>
  <si>
    <t xml:space="preserve">Заключение Отдела по ценообразованию в строительстве Республики Хакасия от 19.07.2019 № 19-00490-19 </t>
  </si>
  <si>
    <t>Положительное заключение от 10.12.2010 №  19-1-5-0048-10-П-1 АУ РХ "Государственная экспертиза Республики Хакасия"</t>
  </si>
  <si>
    <t>Приобретение медицинского оборудования для Вершино-Биджинской амбулатории</t>
  </si>
  <si>
    <t>Приобретение медицинского оборудования для Усть-Абаканской больницы</t>
  </si>
  <si>
    <t>Приобретение медицинского оборудования для Доможаковского ФАП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</si>
</sst>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"/>
    <numFmt numFmtId="179" formatCode="0.000"/>
    <numFmt numFmtId="180" formatCode="0.0000"/>
    <numFmt numFmtId="18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Calibri"/>
      <family val="2"/>
    </font>
    <font>
      <sz val="9"/>
      <name val="Calibri"/>
      <family val="2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37">
    <xf numFmtId="0" fontId="0" fillId="0" borderId="0" xfId="0" applyFont="1" applyAlignment="1">
      <alignment/>
    </xf>
    <xf numFmtId="0" fontId="75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42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6" fillId="0" borderId="10" xfId="53" applyFont="1" applyFill="1" applyBorder="1" applyAlignment="1">
      <alignment vertical="top" wrapText="1"/>
      <protection/>
    </xf>
    <xf numFmtId="0" fontId="76" fillId="0" borderId="11" xfId="53" applyFont="1" applyFill="1" applyBorder="1" applyAlignment="1">
      <alignment vertical="top" wrapText="1"/>
      <protection/>
    </xf>
    <xf numFmtId="0" fontId="76" fillId="0" borderId="12" xfId="53" applyFont="1" applyFill="1" applyBorder="1" applyAlignment="1">
      <alignment vertical="top" wrapText="1"/>
      <protection/>
    </xf>
    <xf numFmtId="176" fontId="76" fillId="0" borderId="10" xfId="53" applyNumberFormat="1" applyFont="1" applyFill="1" applyBorder="1" applyAlignment="1">
      <alignment horizontal="center" vertical="top" wrapText="1"/>
      <protection/>
    </xf>
    <xf numFmtId="176" fontId="4" fillId="0" borderId="10" xfId="53" applyNumberFormat="1" applyFont="1" applyFill="1" applyBorder="1" applyAlignment="1">
      <alignment horizontal="center" vertical="top"/>
      <protection/>
    </xf>
    <xf numFmtId="0" fontId="76" fillId="0" borderId="10" xfId="53" applyFont="1" applyFill="1" applyBorder="1" applyAlignment="1">
      <alignment horizontal="left" vertical="top" wrapText="1"/>
      <protection/>
    </xf>
    <xf numFmtId="0" fontId="3" fillId="0" borderId="0" xfId="42" applyFont="1" applyAlignment="1" applyProtection="1">
      <alignment vertical="top"/>
      <protection/>
    </xf>
    <xf numFmtId="176" fontId="76" fillId="0" borderId="10" xfId="0" applyNumberFormat="1" applyFont="1" applyFill="1" applyBorder="1" applyAlignment="1">
      <alignment horizontal="center" vertical="top" wrapText="1"/>
    </xf>
    <xf numFmtId="176" fontId="76" fillId="0" borderId="10" xfId="0" applyNumberFormat="1" applyFont="1" applyFill="1" applyBorder="1" applyAlignment="1">
      <alignment vertical="top" wrapText="1"/>
    </xf>
    <xf numFmtId="176" fontId="77" fillId="0" borderId="0" xfId="53" applyNumberFormat="1" applyFont="1" applyFill="1" applyAlignment="1">
      <alignment horizontal="center"/>
      <protection/>
    </xf>
    <xf numFmtId="176" fontId="78" fillId="0" borderId="0" xfId="53" applyNumberFormat="1" applyFont="1" applyFill="1" applyAlignment="1">
      <alignment horizontal="center"/>
      <protection/>
    </xf>
    <xf numFmtId="1" fontId="76" fillId="0" borderId="13" xfId="53" applyNumberFormat="1" applyFont="1" applyFill="1" applyBorder="1" applyAlignment="1">
      <alignment horizontal="center" vertical="center" wrapText="1"/>
      <protection/>
    </xf>
    <xf numFmtId="176" fontId="79" fillId="0" borderId="11" xfId="53" applyNumberFormat="1" applyFont="1" applyFill="1" applyBorder="1" applyAlignment="1">
      <alignment horizontal="center" vertical="center" wrapText="1"/>
      <protection/>
    </xf>
    <xf numFmtId="176" fontId="79" fillId="0" borderId="13" xfId="53" applyNumberFormat="1" applyFont="1" applyFill="1" applyBorder="1" applyAlignment="1">
      <alignment horizontal="center" vertical="center" wrapText="1"/>
      <protection/>
    </xf>
    <xf numFmtId="176" fontId="76" fillId="0" borderId="13" xfId="53" applyNumberFormat="1" applyFont="1" applyFill="1" applyBorder="1" applyAlignment="1">
      <alignment vertical="center"/>
      <protection/>
    </xf>
    <xf numFmtId="176" fontId="78" fillId="0" borderId="0" xfId="53" applyNumberFormat="1" applyFont="1" applyFill="1">
      <alignment/>
      <protection/>
    </xf>
    <xf numFmtId="176" fontId="78" fillId="0" borderId="0" xfId="53" applyNumberFormat="1" applyFont="1" applyFill="1" applyAlignment="1">
      <alignment wrapText="1"/>
      <protection/>
    </xf>
    <xf numFmtId="176" fontId="78" fillId="0" borderId="0" xfId="53" applyNumberFormat="1" applyFont="1" applyFill="1" applyAlignment="1">
      <alignment/>
      <protection/>
    </xf>
    <xf numFmtId="176" fontId="75" fillId="0" borderId="0" xfId="53" applyNumberFormat="1" applyFont="1" applyFill="1" applyBorder="1" applyAlignment="1">
      <alignment/>
      <protection/>
    </xf>
    <xf numFmtId="176" fontId="78" fillId="0" borderId="0" xfId="53" applyNumberFormat="1" applyFont="1" applyFill="1" applyBorder="1" applyAlignment="1">
      <alignment/>
      <protection/>
    </xf>
    <xf numFmtId="0" fontId="78" fillId="0" borderId="0" xfId="53" applyFont="1" applyFill="1" applyAlignment="1">
      <alignment/>
      <protection/>
    </xf>
    <xf numFmtId="0" fontId="76" fillId="0" borderId="11" xfId="53" applyFont="1" applyFill="1" applyBorder="1" applyAlignment="1">
      <alignment horizontal="center" vertical="top" wrapText="1"/>
      <protection/>
    </xf>
    <xf numFmtId="176" fontId="76" fillId="0" borderId="11" xfId="53" applyNumberFormat="1" applyFont="1" applyFill="1" applyBorder="1" applyAlignment="1">
      <alignment horizontal="center" vertical="top" wrapText="1"/>
      <protection/>
    </xf>
    <xf numFmtId="176" fontId="76" fillId="0" borderId="11" xfId="53" applyNumberFormat="1" applyFont="1" applyFill="1" applyBorder="1" applyAlignment="1">
      <alignment vertical="top" wrapText="1"/>
      <protection/>
    </xf>
    <xf numFmtId="0" fontId="76" fillId="0" borderId="10" xfId="0" applyFont="1" applyFill="1" applyBorder="1" applyAlignment="1">
      <alignment vertical="top" wrapText="1"/>
    </xf>
    <xf numFmtId="178" fontId="80" fillId="0" borderId="13" xfId="0" applyNumberFormat="1" applyFont="1" applyFill="1" applyBorder="1" applyAlignment="1">
      <alignment horizontal="center" vertical="top" wrapText="1"/>
    </xf>
    <xf numFmtId="176" fontId="80" fillId="0" borderId="13" xfId="0" applyNumberFormat="1" applyFont="1" applyFill="1" applyBorder="1" applyAlignment="1">
      <alignment horizontal="center" vertical="top" wrapText="1"/>
    </xf>
    <xf numFmtId="176" fontId="80" fillId="0" borderId="13" xfId="0" applyNumberFormat="1" applyFont="1" applyFill="1" applyBorder="1" applyAlignment="1">
      <alignment vertical="top" wrapText="1"/>
    </xf>
    <xf numFmtId="176" fontId="80" fillId="0" borderId="13" xfId="0" applyNumberFormat="1" applyFont="1" applyFill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top" wrapText="1"/>
      <protection/>
    </xf>
    <xf numFmtId="0" fontId="79" fillId="0" borderId="13" xfId="53" applyFont="1" applyFill="1" applyBorder="1" applyAlignment="1">
      <alignment vertical="center" wrapText="1"/>
      <protection/>
    </xf>
    <xf numFmtId="0" fontId="76" fillId="0" borderId="10" xfId="53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 vertical="center"/>
    </xf>
    <xf numFmtId="0" fontId="12" fillId="0" borderId="14" xfId="53" applyFont="1" applyFill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80" fillId="0" borderId="13" xfId="54" applyFont="1" applyFill="1" applyBorder="1" applyAlignment="1">
      <alignment vertical="top" wrapText="1"/>
      <protection/>
    </xf>
    <xf numFmtId="0" fontId="81" fillId="0" borderId="13" xfId="54" applyFont="1" applyFill="1" applyBorder="1" applyAlignment="1">
      <alignment horizontal="center" vertical="top" wrapText="1"/>
      <protection/>
    </xf>
    <xf numFmtId="0" fontId="80" fillId="0" borderId="13" xfId="54" applyFont="1" applyFill="1" applyBorder="1" applyAlignment="1">
      <alignment horizontal="center" vertical="top" wrapText="1"/>
      <protection/>
    </xf>
    <xf numFmtId="176" fontId="80" fillId="0" borderId="13" xfId="54" applyNumberFormat="1" applyFont="1" applyFill="1" applyBorder="1" applyAlignment="1">
      <alignment horizontal="center" vertical="top" wrapText="1"/>
      <protection/>
    </xf>
    <xf numFmtId="0" fontId="68" fillId="0" borderId="0" xfId="54" applyFont="1" applyFill="1" applyAlignment="1">
      <alignment/>
      <protection/>
    </xf>
    <xf numFmtId="0" fontId="80" fillId="0" borderId="13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vertical="top" wrapText="1"/>
    </xf>
    <xf numFmtId="176" fontId="80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6" fillId="0" borderId="13" xfId="53" applyFont="1" applyFill="1" applyBorder="1" applyAlignment="1">
      <alignment horizontal="center" vertical="top" wrapText="1"/>
      <protection/>
    </xf>
    <xf numFmtId="0" fontId="76" fillId="0" borderId="13" xfId="53" applyFont="1" applyFill="1" applyBorder="1" applyAlignment="1">
      <alignment vertical="top" wrapText="1"/>
      <protection/>
    </xf>
    <xf numFmtId="176" fontId="76" fillId="0" borderId="13" xfId="53" applyNumberFormat="1" applyFont="1" applyFill="1" applyBorder="1" applyAlignment="1">
      <alignment horizontal="center" vertical="top" wrapText="1"/>
      <protection/>
    </xf>
    <xf numFmtId="0" fontId="76" fillId="0" borderId="13" xfId="53" applyFont="1" applyFill="1" applyBorder="1" applyAlignment="1">
      <alignment vertical="center" wrapText="1"/>
      <protection/>
    </xf>
    <xf numFmtId="0" fontId="76" fillId="0" borderId="13" xfId="53" applyFont="1" applyFill="1" applyBorder="1" applyAlignment="1">
      <alignment horizontal="center" vertical="center" wrapText="1"/>
      <protection/>
    </xf>
    <xf numFmtId="0" fontId="78" fillId="0" borderId="0" xfId="53" applyFont="1" applyAlignment="1">
      <alignment/>
      <protection/>
    </xf>
    <xf numFmtId="176" fontId="75" fillId="0" borderId="10" xfId="53" applyNumberFormat="1" applyFont="1" applyBorder="1" applyAlignment="1">
      <alignment horizontal="center" vertical="center" wrapText="1"/>
      <protection/>
    </xf>
    <xf numFmtId="0" fontId="82" fillId="0" borderId="10" xfId="0" applyFont="1" applyBorder="1" applyAlignment="1">
      <alignment horizontal="center" vertical="top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/>
    </xf>
    <xf numFmtId="176" fontId="82" fillId="0" borderId="10" xfId="0" applyNumberFormat="1" applyFont="1" applyBorder="1" applyAlignment="1">
      <alignment vertical="center"/>
    </xf>
    <xf numFmtId="0" fontId="83" fillId="0" borderId="0" xfId="0" applyFont="1" applyAlignment="1">
      <alignment/>
    </xf>
    <xf numFmtId="176" fontId="82" fillId="0" borderId="10" xfId="0" applyNumberFormat="1" applyFont="1" applyFill="1" applyBorder="1" applyAlignment="1">
      <alignment vertical="center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vertical="top" wrapText="1"/>
    </xf>
    <xf numFmtId="176" fontId="84" fillId="0" borderId="10" xfId="0" applyNumberFormat="1" applyFont="1" applyBorder="1" applyAlignment="1">
      <alignment vertical="center"/>
    </xf>
    <xf numFmtId="0" fontId="85" fillId="0" borderId="0" xfId="0" applyFont="1" applyAlignment="1">
      <alignment/>
    </xf>
    <xf numFmtId="0" fontId="83" fillId="0" borderId="0" xfId="0" applyFont="1" applyAlignment="1">
      <alignment vertical="top" wrapText="1"/>
    </xf>
    <xf numFmtId="176" fontId="83" fillId="0" borderId="0" xfId="0" applyNumberFormat="1" applyFont="1" applyAlignment="1">
      <alignment/>
    </xf>
    <xf numFmtId="0" fontId="78" fillId="0" borderId="0" xfId="53" applyFont="1" applyAlignment="1">
      <alignment/>
      <protection/>
    </xf>
    <xf numFmtId="0" fontId="0" fillId="0" borderId="0" xfId="0" applyFont="1" applyAlignment="1">
      <alignment/>
    </xf>
    <xf numFmtId="176" fontId="75" fillId="0" borderId="10" xfId="53" applyNumberFormat="1" applyFont="1" applyBorder="1" applyAlignment="1">
      <alignment horizontal="center" vertical="center" wrapText="1"/>
      <protection/>
    </xf>
    <xf numFmtId="0" fontId="76" fillId="0" borderId="15" xfId="53" applyFont="1" applyFill="1" applyBorder="1" applyAlignment="1">
      <alignment vertical="top" wrapText="1"/>
      <protection/>
    </xf>
    <xf numFmtId="0" fontId="76" fillId="0" borderId="16" xfId="53" applyFont="1" applyFill="1" applyBorder="1" applyAlignment="1">
      <alignment horizontal="center" vertical="top" wrapText="1"/>
      <protection/>
    </xf>
    <xf numFmtId="176" fontId="76" fillId="0" borderId="17" xfId="0" applyNumberFormat="1" applyFont="1" applyFill="1" applyBorder="1" applyAlignment="1">
      <alignment horizontal="center" vertical="top" wrapText="1"/>
    </xf>
    <xf numFmtId="176" fontId="76" fillId="0" borderId="17" xfId="0" applyNumberFormat="1" applyFont="1" applyFill="1" applyBorder="1" applyAlignment="1">
      <alignment vertical="top" wrapText="1"/>
    </xf>
    <xf numFmtId="176" fontId="76" fillId="0" borderId="18" xfId="0" applyNumberFormat="1" applyFont="1" applyFill="1" applyBorder="1" applyAlignment="1">
      <alignment horizontal="center" vertical="top" wrapText="1"/>
    </xf>
    <xf numFmtId="0" fontId="78" fillId="0" borderId="10" xfId="53" applyFont="1" applyFill="1" applyBorder="1" applyAlignment="1">
      <alignment/>
      <protection/>
    </xf>
    <xf numFmtId="0" fontId="76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86" fillId="0" borderId="10" xfId="0" applyFont="1" applyFill="1" applyBorder="1" applyAlignment="1">
      <alignment horizontal="left" vertical="top" wrapText="1"/>
    </xf>
    <xf numFmtId="0" fontId="86" fillId="0" borderId="17" xfId="0" applyFont="1" applyFill="1" applyBorder="1" applyAlignment="1">
      <alignment horizontal="left" vertical="top" wrapText="1"/>
    </xf>
    <xf numFmtId="0" fontId="76" fillId="0" borderId="17" xfId="0" applyFont="1" applyFill="1" applyBorder="1" applyAlignment="1">
      <alignment vertical="top" wrapText="1"/>
    </xf>
    <xf numFmtId="0" fontId="76" fillId="0" borderId="17" xfId="0" applyFont="1" applyFill="1" applyBorder="1" applyAlignment="1">
      <alignment horizontal="center" vertical="top" wrapText="1"/>
    </xf>
    <xf numFmtId="176" fontId="4" fillId="0" borderId="17" xfId="53" applyNumberFormat="1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/>
    </xf>
    <xf numFmtId="0" fontId="86" fillId="0" borderId="18" xfId="0" applyFont="1" applyFill="1" applyBorder="1" applyAlignment="1">
      <alignment horizontal="left" vertical="top" wrapText="1"/>
    </xf>
    <xf numFmtId="0" fontId="76" fillId="0" borderId="18" xfId="0" applyFont="1" applyFill="1" applyBorder="1" applyAlignment="1">
      <alignment vertical="top" wrapText="1"/>
    </xf>
    <xf numFmtId="0" fontId="76" fillId="0" borderId="18" xfId="0" applyFont="1" applyFill="1" applyBorder="1" applyAlignment="1">
      <alignment horizontal="center" vertical="top" wrapText="1"/>
    </xf>
    <xf numFmtId="176" fontId="76" fillId="0" borderId="18" xfId="0" applyNumberFormat="1" applyFont="1" applyFill="1" applyBorder="1" applyAlignment="1">
      <alignment vertical="top" wrapText="1"/>
    </xf>
    <xf numFmtId="0" fontId="76" fillId="0" borderId="17" xfId="0" applyFont="1" applyFill="1" applyBorder="1" applyAlignment="1">
      <alignment wrapText="1"/>
    </xf>
    <xf numFmtId="176" fontId="76" fillId="0" borderId="17" xfId="0" applyNumberFormat="1" applyFont="1" applyFill="1" applyBorder="1" applyAlignment="1">
      <alignment wrapText="1"/>
    </xf>
    <xf numFmtId="176" fontId="76" fillId="0" borderId="17" xfId="0" applyNumberFormat="1" applyFont="1" applyFill="1" applyBorder="1" applyAlignment="1">
      <alignment horizontal="center" wrapText="1"/>
    </xf>
    <xf numFmtId="176" fontId="76" fillId="0" borderId="10" xfId="0" applyNumberFormat="1" applyFont="1" applyFill="1" applyBorder="1" applyAlignment="1">
      <alignment wrapText="1"/>
    </xf>
    <xf numFmtId="176" fontId="76" fillId="0" borderId="10" xfId="0" applyNumberFormat="1" applyFont="1" applyFill="1" applyBorder="1" applyAlignment="1">
      <alignment horizontal="center" wrapText="1"/>
    </xf>
    <xf numFmtId="176" fontId="76" fillId="0" borderId="12" xfId="53" applyNumberFormat="1" applyFont="1" applyFill="1" applyBorder="1" applyAlignment="1">
      <alignment horizontal="center" vertical="top" wrapText="1"/>
      <protection/>
    </xf>
    <xf numFmtId="176" fontId="76" fillId="0" borderId="19" xfId="53" applyNumberFormat="1" applyFont="1" applyFill="1" applyBorder="1" applyAlignment="1">
      <alignment horizontal="center" vertical="top" wrapText="1"/>
      <protection/>
    </xf>
    <xf numFmtId="0" fontId="76" fillId="0" borderId="15" xfId="53" applyFont="1" applyFill="1" applyBorder="1" applyAlignment="1">
      <alignment horizontal="left" vertical="top" wrapText="1"/>
      <protection/>
    </xf>
    <xf numFmtId="0" fontId="76" fillId="0" borderId="19" xfId="53" applyFont="1" applyFill="1" applyBorder="1" applyAlignment="1">
      <alignment horizontal="center" vertical="top" wrapText="1"/>
      <protection/>
    </xf>
    <xf numFmtId="0" fontId="79" fillId="0" borderId="11" xfId="53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42" applyFont="1" applyFill="1" applyAlignment="1" applyProtection="1">
      <alignment horizontal="center"/>
      <protection/>
    </xf>
    <xf numFmtId="0" fontId="3" fillId="0" borderId="0" xfId="42" applyFont="1" applyFill="1" applyAlignment="1" applyProtection="1">
      <alignment vertical="top"/>
      <protection/>
    </xf>
    <xf numFmtId="0" fontId="3" fillId="0" borderId="0" xfId="42" applyFont="1" applyFill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79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176" fontId="7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6" fillId="0" borderId="17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7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176" fontId="75" fillId="0" borderId="0" xfId="53" applyNumberFormat="1" applyFont="1" applyFill="1" applyBorder="1">
      <alignment/>
      <protection/>
    </xf>
    <xf numFmtId="0" fontId="75" fillId="0" borderId="0" xfId="53" applyFont="1" applyFill="1" applyAlignment="1">
      <alignment/>
      <protection/>
    </xf>
    <xf numFmtId="0" fontId="75" fillId="0" borderId="0" xfId="53" applyFont="1" applyFill="1" applyBorder="1">
      <alignment/>
      <protection/>
    </xf>
    <xf numFmtId="0" fontId="75" fillId="0" borderId="0" xfId="53" applyFont="1" applyFill="1" applyBorder="1" applyAlignment="1">
      <alignment horizontal="center" vertical="top"/>
      <protection/>
    </xf>
    <xf numFmtId="0" fontId="78" fillId="0" borderId="0" xfId="53" applyFont="1" applyFill="1" applyBorder="1" applyAlignment="1">
      <alignment/>
      <protection/>
    </xf>
    <xf numFmtId="176" fontId="78" fillId="0" borderId="0" xfId="53" applyNumberFormat="1" applyFont="1" applyFill="1" applyBorder="1">
      <alignment/>
      <protection/>
    </xf>
    <xf numFmtId="0" fontId="88" fillId="0" borderId="0" xfId="53" applyFont="1" applyFill="1" applyBorder="1">
      <alignment/>
      <protection/>
    </xf>
    <xf numFmtId="0" fontId="89" fillId="0" borderId="0" xfId="53" applyFont="1" applyFill="1" applyBorder="1">
      <alignment/>
      <protection/>
    </xf>
    <xf numFmtId="0" fontId="80" fillId="0" borderId="13" xfId="0" applyFont="1" applyFill="1" applyBorder="1" applyAlignment="1">
      <alignment horizontal="left" vertical="top" wrapText="1"/>
    </xf>
    <xf numFmtId="176" fontId="76" fillId="0" borderId="13" xfId="0" applyNumberFormat="1" applyFont="1" applyFill="1" applyBorder="1" applyAlignment="1">
      <alignment horizontal="center" vertical="top" wrapText="1"/>
    </xf>
    <xf numFmtId="176" fontId="76" fillId="0" borderId="13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top" wrapText="1"/>
    </xf>
    <xf numFmtId="178" fontId="76" fillId="0" borderId="13" xfId="0" applyNumberFormat="1" applyFont="1" applyFill="1" applyBorder="1" applyAlignment="1">
      <alignment horizontal="center" vertical="top" wrapText="1"/>
    </xf>
    <xf numFmtId="178" fontId="76" fillId="0" borderId="12" xfId="0" applyNumberFormat="1" applyFont="1" applyFill="1" applyBorder="1" applyAlignment="1">
      <alignment horizontal="center" vertical="top" wrapText="1"/>
    </xf>
    <xf numFmtId="179" fontId="76" fillId="0" borderId="13" xfId="0" applyNumberFormat="1" applyFont="1" applyFill="1" applyBorder="1" applyAlignment="1">
      <alignment horizontal="center" vertical="top" wrapText="1"/>
    </xf>
    <xf numFmtId="2" fontId="76" fillId="0" borderId="13" xfId="0" applyNumberFormat="1" applyFont="1" applyFill="1" applyBorder="1" applyAlignment="1">
      <alignment horizontal="center" vertical="top" wrapText="1"/>
    </xf>
    <xf numFmtId="2" fontId="76" fillId="0" borderId="13" xfId="0" applyNumberFormat="1" applyFont="1" applyFill="1" applyBorder="1" applyAlignment="1">
      <alignment horizontal="center" vertical="center" wrapText="1"/>
    </xf>
    <xf numFmtId="179" fontId="76" fillId="0" borderId="13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vertical="top" wrapText="1"/>
    </xf>
    <xf numFmtId="0" fontId="76" fillId="0" borderId="13" xfId="0" applyFont="1" applyFill="1" applyBorder="1" applyAlignment="1">
      <alignment horizontal="left" vertical="top" wrapText="1"/>
    </xf>
    <xf numFmtId="176" fontId="76" fillId="0" borderId="13" xfId="0" applyNumberFormat="1" applyFont="1" applyFill="1" applyBorder="1" applyAlignment="1">
      <alignment vertical="top" wrapText="1"/>
    </xf>
    <xf numFmtId="176" fontId="76" fillId="0" borderId="13" xfId="0" applyNumberFormat="1" applyFont="1" applyFill="1" applyBorder="1" applyAlignment="1">
      <alignment vertical="center" wrapText="1"/>
    </xf>
    <xf numFmtId="0" fontId="76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horizontal="center" vertical="top" wrapText="1"/>
      <protection/>
    </xf>
    <xf numFmtId="0" fontId="76" fillId="0" borderId="13" xfId="54" applyFont="1" applyFill="1" applyBorder="1" applyAlignment="1">
      <alignment horizontal="center" vertical="top" wrapText="1"/>
      <protection/>
    </xf>
    <xf numFmtId="0" fontId="76" fillId="0" borderId="19" xfId="0" applyFont="1" applyFill="1" applyBorder="1" applyAlignment="1">
      <alignment horizontal="center" vertical="top" wrapText="1"/>
    </xf>
    <xf numFmtId="176" fontId="76" fillId="0" borderId="10" xfId="53" applyNumberFormat="1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center" vertical="top" wrapText="1"/>
    </xf>
    <xf numFmtId="0" fontId="75" fillId="0" borderId="0" xfId="53" applyFont="1" applyFill="1" applyBorder="1" applyAlignment="1">
      <alignment/>
      <protection/>
    </xf>
    <xf numFmtId="0" fontId="76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/>
      <protection/>
    </xf>
    <xf numFmtId="0" fontId="77" fillId="0" borderId="0" xfId="53" applyFont="1" applyFill="1" applyAlignment="1">
      <alignment horizontal="center"/>
      <protection/>
    </xf>
    <xf numFmtId="0" fontId="78" fillId="0" borderId="0" xfId="53" applyFont="1" applyFill="1" applyAlignment="1">
      <alignment horizontal="center"/>
      <protection/>
    </xf>
    <xf numFmtId="176" fontId="76" fillId="0" borderId="13" xfId="53" applyNumberFormat="1" applyFont="1" applyFill="1" applyBorder="1" applyAlignment="1">
      <alignment horizontal="center" vertical="center" wrapText="1"/>
      <protection/>
    </xf>
    <xf numFmtId="0" fontId="76" fillId="0" borderId="18" xfId="53" applyFont="1" applyFill="1" applyBorder="1" applyAlignment="1">
      <alignment horizontal="center" vertical="top" wrapText="1"/>
      <protection/>
    </xf>
    <xf numFmtId="0" fontId="76" fillId="0" borderId="18" xfId="53" applyFont="1" applyFill="1" applyBorder="1" applyAlignment="1">
      <alignment vertical="top" wrapText="1"/>
      <protection/>
    </xf>
    <xf numFmtId="176" fontId="76" fillId="0" borderId="18" xfId="53" applyNumberFormat="1" applyFont="1" applyFill="1" applyBorder="1" applyAlignment="1">
      <alignment horizontal="center" vertical="top" wrapText="1"/>
      <protection/>
    </xf>
    <xf numFmtId="0" fontId="76" fillId="0" borderId="11" xfId="53" applyFont="1" applyFill="1" applyBorder="1" applyAlignment="1">
      <alignment vertical="center" wrapText="1"/>
      <protection/>
    </xf>
    <xf numFmtId="0" fontId="76" fillId="0" borderId="11" xfId="53" applyFont="1" applyFill="1" applyBorder="1" applyAlignment="1">
      <alignment horizontal="center" vertical="center" wrapText="1"/>
      <protection/>
    </xf>
    <xf numFmtId="0" fontId="79" fillId="0" borderId="11" xfId="53" applyFont="1" applyFill="1" applyBorder="1" applyAlignment="1">
      <alignment horizontal="center" vertical="center" wrapText="1"/>
      <protection/>
    </xf>
    <xf numFmtId="0" fontId="90" fillId="0" borderId="10" xfId="53" applyFont="1" applyFill="1" applyBorder="1" applyAlignment="1">
      <alignment horizontal="center" vertical="top" wrapText="1"/>
      <protection/>
    </xf>
    <xf numFmtId="0" fontId="76" fillId="0" borderId="12" xfId="53" applyFont="1" applyFill="1" applyBorder="1" applyAlignment="1">
      <alignment horizontal="center" vertical="top" wrapText="1"/>
      <protection/>
    </xf>
    <xf numFmtId="0" fontId="76" fillId="0" borderId="0" xfId="53" applyFont="1" applyFill="1" applyBorder="1" applyAlignment="1">
      <alignment vertical="top" wrapText="1"/>
      <protection/>
    </xf>
    <xf numFmtId="0" fontId="76" fillId="0" borderId="20" xfId="0" applyFont="1" applyFill="1" applyBorder="1" applyAlignment="1">
      <alignment horizontal="center" wrapText="1"/>
    </xf>
    <xf numFmtId="0" fontId="76" fillId="0" borderId="21" xfId="0" applyFont="1" applyFill="1" applyBorder="1" applyAlignment="1">
      <alignment horizontal="center" wrapText="1"/>
    </xf>
    <xf numFmtId="0" fontId="79" fillId="0" borderId="13" xfId="53" applyFont="1" applyFill="1" applyBorder="1" applyAlignment="1">
      <alignment horizontal="center" vertical="center" wrapText="1"/>
      <protection/>
    </xf>
    <xf numFmtId="0" fontId="76" fillId="0" borderId="13" xfId="53" applyFont="1" applyFill="1" applyBorder="1" applyAlignment="1">
      <alignment vertical="center"/>
      <protection/>
    </xf>
    <xf numFmtId="176" fontId="76" fillId="0" borderId="13" xfId="53" applyNumberFormat="1" applyFont="1" applyFill="1" applyBorder="1">
      <alignment/>
      <protection/>
    </xf>
    <xf numFmtId="0" fontId="78" fillId="0" borderId="0" xfId="53" applyFont="1" applyFill="1">
      <alignment/>
      <protection/>
    </xf>
    <xf numFmtId="0" fontId="78" fillId="0" borderId="0" xfId="53" applyFont="1" applyFill="1" applyAlignment="1">
      <alignment horizontal="left" wrapText="1"/>
      <protection/>
    </xf>
    <xf numFmtId="0" fontId="78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80" fillId="0" borderId="0" xfId="53" applyFont="1" applyFill="1" applyAlignment="1">
      <alignment horizontal="center" vertical="center"/>
      <protection/>
    </xf>
    <xf numFmtId="0" fontId="76" fillId="0" borderId="22" xfId="53" applyFont="1" applyFill="1" applyBorder="1" applyAlignment="1">
      <alignment horizontal="center" vertical="top" wrapText="1"/>
      <protection/>
    </xf>
    <xf numFmtId="0" fontId="76" fillId="0" borderId="22" xfId="53" applyFont="1" applyFill="1" applyBorder="1" applyAlignment="1">
      <alignment vertical="top" wrapText="1"/>
      <protection/>
    </xf>
    <xf numFmtId="0" fontId="76" fillId="0" borderId="23" xfId="53" applyFont="1" applyFill="1" applyBorder="1" applyAlignment="1">
      <alignment vertical="top" wrapText="1"/>
      <protection/>
    </xf>
    <xf numFmtId="176" fontId="76" fillId="0" borderId="24" xfId="53" applyNumberFormat="1" applyFont="1" applyFill="1" applyBorder="1" applyAlignment="1">
      <alignment horizontal="center" vertical="top" wrapText="1"/>
      <protection/>
    </xf>
    <xf numFmtId="176" fontId="76" fillId="0" borderId="22" xfId="53" applyNumberFormat="1" applyFont="1" applyFill="1" applyBorder="1" applyAlignment="1">
      <alignment horizontal="center" vertical="top" wrapText="1"/>
      <protection/>
    </xf>
    <xf numFmtId="0" fontId="80" fillId="0" borderId="10" xfId="53" applyFont="1" applyFill="1" applyBorder="1" applyAlignment="1">
      <alignment vertical="top" wrapText="1"/>
      <protection/>
    </xf>
    <xf numFmtId="0" fontId="76" fillId="0" borderId="22" xfId="53" applyFont="1" applyFill="1" applyBorder="1" applyAlignment="1">
      <alignment vertical="center" wrapText="1"/>
      <protection/>
    </xf>
    <xf numFmtId="0" fontId="76" fillId="0" borderId="22" xfId="53" applyFont="1" applyFill="1" applyBorder="1" applyAlignment="1">
      <alignment horizontal="center" vertical="center" wrapText="1"/>
      <protection/>
    </xf>
    <xf numFmtId="0" fontId="79" fillId="0" borderId="23" xfId="53" applyFont="1" applyFill="1" applyBorder="1" applyAlignment="1">
      <alignment vertical="center" wrapText="1"/>
      <protection/>
    </xf>
    <xf numFmtId="0" fontId="79" fillId="0" borderId="10" xfId="53" applyFont="1" applyFill="1" applyBorder="1" applyAlignment="1">
      <alignment vertical="center" wrapText="1"/>
      <protection/>
    </xf>
    <xf numFmtId="0" fontId="79" fillId="0" borderId="24" xfId="53" applyFont="1" applyFill="1" applyBorder="1" applyAlignment="1">
      <alignment vertical="center" wrapText="1"/>
      <protection/>
    </xf>
    <xf numFmtId="0" fontId="79" fillId="0" borderId="22" xfId="53" applyFont="1" applyFill="1" applyBorder="1" applyAlignment="1">
      <alignment vertical="center" wrapText="1"/>
      <protection/>
    </xf>
    <xf numFmtId="176" fontId="79" fillId="0" borderId="22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6" fillId="0" borderId="0" xfId="42" applyFont="1" applyFill="1" applyAlignment="1" applyProtection="1">
      <alignment horizontal="center" vertical="top"/>
      <protection/>
    </xf>
    <xf numFmtId="176" fontId="79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/>
    </xf>
    <xf numFmtId="0" fontId="76" fillId="0" borderId="17" xfId="0" applyFont="1" applyFill="1" applyBorder="1" applyAlignment="1">
      <alignment horizontal="left" vertical="top" wrapText="1"/>
    </xf>
    <xf numFmtId="0" fontId="87" fillId="0" borderId="18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wrapText="1"/>
    </xf>
    <xf numFmtId="0" fontId="76" fillId="0" borderId="25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center" wrapText="1"/>
    </xf>
    <xf numFmtId="0" fontId="87" fillId="0" borderId="18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top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80" fillId="0" borderId="13" xfId="54" applyFont="1" applyFill="1" applyBorder="1" applyAlignment="1">
      <alignment vertical="center" wrapText="1"/>
      <protection/>
    </xf>
    <xf numFmtId="0" fontId="80" fillId="0" borderId="13" xfId="54" applyFont="1" applyFill="1" applyBorder="1" applyAlignment="1">
      <alignment horizontal="center" vertical="center" wrapText="1"/>
      <protection/>
    </xf>
    <xf numFmtId="0" fontId="81" fillId="0" borderId="13" xfId="54" applyFont="1" applyFill="1" applyBorder="1" applyAlignment="1">
      <alignment vertical="center" wrapText="1"/>
      <protection/>
    </xf>
    <xf numFmtId="0" fontId="81" fillId="0" borderId="13" xfId="54" applyFont="1" applyFill="1" applyBorder="1" applyAlignment="1">
      <alignment horizontal="center" vertical="center" wrapText="1"/>
      <protection/>
    </xf>
    <xf numFmtId="176" fontId="81" fillId="0" borderId="13" xfId="54" applyNumberFormat="1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wrapText="1"/>
    </xf>
    <xf numFmtId="0" fontId="79" fillId="0" borderId="10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176" fontId="4" fillId="0" borderId="10" xfId="0" applyNumberFormat="1" applyFont="1" applyFill="1" applyBorder="1" applyAlignment="1">
      <alignment vertical="top"/>
    </xf>
    <xf numFmtId="0" fontId="75" fillId="0" borderId="0" xfId="0" applyFont="1" applyFill="1" applyAlignment="1">
      <alignment horizontal="center" vertical="top"/>
    </xf>
    <xf numFmtId="0" fontId="77" fillId="0" borderId="0" xfId="53" applyFont="1" applyFill="1" applyAlignment="1">
      <alignment horizontal="center" vertical="top" wrapText="1"/>
      <protection/>
    </xf>
    <xf numFmtId="0" fontId="78" fillId="0" borderId="0" xfId="53" applyFont="1" applyFill="1" applyAlignment="1">
      <alignment horizontal="center" vertical="top" wrapText="1"/>
      <protection/>
    </xf>
    <xf numFmtId="0" fontId="79" fillId="0" borderId="13" xfId="53" applyFont="1" applyFill="1" applyBorder="1" applyAlignment="1">
      <alignment horizontal="center" vertical="top" wrapText="1"/>
      <protection/>
    </xf>
    <xf numFmtId="0" fontId="75" fillId="0" borderId="0" xfId="53" applyFont="1" applyFill="1" applyBorder="1" applyAlignment="1">
      <alignment horizontal="center" vertical="top" wrapText="1"/>
      <protection/>
    </xf>
    <xf numFmtId="0" fontId="78" fillId="0" borderId="0" xfId="53" applyFont="1" applyFill="1" applyBorder="1" applyAlignment="1">
      <alignment horizontal="center" vertical="top" wrapText="1"/>
      <protection/>
    </xf>
    <xf numFmtId="0" fontId="77" fillId="0" borderId="0" xfId="54" applyFont="1" applyFill="1" applyAlignment="1">
      <alignment horizontal="center"/>
      <protection/>
    </xf>
    <xf numFmtId="0" fontId="77" fillId="0" borderId="0" xfId="54" applyFont="1" applyFill="1">
      <alignment/>
      <protection/>
    </xf>
    <xf numFmtId="0" fontId="78" fillId="0" borderId="0" xfId="54" applyFont="1" applyFill="1" applyAlignment="1">
      <alignment horizontal="center"/>
      <protection/>
    </xf>
    <xf numFmtId="0" fontId="78" fillId="0" borderId="0" xfId="54" applyFont="1" applyFill="1">
      <alignment/>
      <protection/>
    </xf>
    <xf numFmtId="0" fontId="75" fillId="0" borderId="0" xfId="54" applyFont="1" applyFill="1">
      <alignment/>
      <protection/>
    </xf>
    <xf numFmtId="0" fontId="75" fillId="0" borderId="0" xfId="54" applyFont="1" applyFill="1" applyAlignment="1">
      <alignment horizontal="center"/>
      <protection/>
    </xf>
    <xf numFmtId="0" fontId="76" fillId="0" borderId="13" xfId="54" applyFont="1" applyFill="1" applyBorder="1" applyAlignment="1">
      <alignment vertical="center"/>
      <protection/>
    </xf>
    <xf numFmtId="0" fontId="76" fillId="0" borderId="13" xfId="54" applyFont="1" applyFill="1" applyBorder="1" applyAlignment="1">
      <alignment horizontal="center" vertical="center"/>
      <protection/>
    </xf>
    <xf numFmtId="0" fontId="68" fillId="0" borderId="13" xfId="54" applyFont="1" applyFill="1" applyBorder="1">
      <alignment/>
      <protection/>
    </xf>
    <xf numFmtId="0" fontId="68" fillId="0" borderId="0" xfId="54" applyFont="1" applyFill="1" applyAlignment="1">
      <alignment horizontal="left" wrapText="1"/>
      <protection/>
    </xf>
    <xf numFmtId="0" fontId="68" fillId="0" borderId="0" xfId="54" applyFont="1" applyFill="1" applyAlignment="1">
      <alignment horizontal="center" wrapText="1"/>
      <protection/>
    </xf>
    <xf numFmtId="0" fontId="68" fillId="0" borderId="0" xfId="54" applyFont="1" applyFill="1" applyAlignment="1">
      <alignment wrapText="1"/>
      <protection/>
    </xf>
    <xf numFmtId="0" fontId="68" fillId="0" borderId="0" xfId="54" applyFont="1" applyFill="1" applyAlignment="1">
      <alignment horizontal="center"/>
      <protection/>
    </xf>
    <xf numFmtId="0" fontId="75" fillId="0" borderId="0" xfId="53" applyFont="1" applyFill="1" applyBorder="1" applyAlignment="1">
      <alignment horizontal="center"/>
      <protection/>
    </xf>
    <xf numFmtId="0" fontId="88" fillId="0" borderId="13" xfId="54" applyFont="1" applyFill="1" applyBorder="1" applyAlignment="1">
      <alignment horizontal="center" vertical="center" wrapText="1"/>
      <protection/>
    </xf>
    <xf numFmtId="0" fontId="76" fillId="0" borderId="13" xfId="54" applyFont="1" applyFill="1" applyBorder="1" applyAlignment="1">
      <alignment horizontal="left" vertical="top" wrapText="1"/>
      <protection/>
    </xf>
    <xf numFmtId="176" fontId="76" fillId="0" borderId="13" xfId="54" applyNumberFormat="1" applyFont="1" applyFill="1" applyBorder="1" applyAlignment="1">
      <alignment horizontal="center" vertical="top" wrapText="1"/>
      <protection/>
    </xf>
    <xf numFmtId="176" fontId="76" fillId="0" borderId="13" xfId="54" applyNumberFormat="1" applyFont="1" applyFill="1" applyBorder="1" applyAlignment="1">
      <alignment vertical="top" wrapText="1"/>
      <protection/>
    </xf>
    <xf numFmtId="0" fontId="76" fillId="0" borderId="13" xfId="54" applyFont="1" applyFill="1" applyBorder="1" applyAlignment="1">
      <alignment vertical="center" wrapText="1"/>
      <protection/>
    </xf>
    <xf numFmtId="0" fontId="76" fillId="0" borderId="13" xfId="54" applyFont="1" applyFill="1" applyBorder="1" applyAlignment="1">
      <alignment horizontal="center" vertical="center" wrapText="1"/>
      <protection/>
    </xf>
    <xf numFmtId="0" fontId="79" fillId="0" borderId="13" xfId="54" applyFont="1" applyFill="1" applyBorder="1" applyAlignment="1">
      <alignment vertical="center" wrapText="1"/>
      <protection/>
    </xf>
    <xf numFmtId="0" fontId="79" fillId="0" borderId="13" xfId="54" applyFont="1" applyFill="1" applyBorder="1" applyAlignment="1">
      <alignment horizontal="center" vertical="center" wrapText="1"/>
      <protection/>
    </xf>
    <xf numFmtId="176" fontId="79" fillId="0" borderId="13" xfId="54" applyNumberFormat="1" applyFont="1" applyFill="1" applyBorder="1" applyAlignment="1">
      <alignment horizontal="center" vertical="center" wrapText="1"/>
      <protection/>
    </xf>
    <xf numFmtId="176" fontId="79" fillId="0" borderId="13" xfId="54" applyNumberFormat="1" applyFont="1" applyFill="1" applyBorder="1" applyAlignment="1">
      <alignment vertical="center" wrapText="1"/>
      <protection/>
    </xf>
    <xf numFmtId="0" fontId="77" fillId="0" borderId="0" xfId="53" applyFont="1" applyFill="1" applyAlignment="1">
      <alignment horizontal="center" wrapText="1"/>
      <protection/>
    </xf>
    <xf numFmtId="0" fontId="78" fillId="0" borderId="0" xfId="53" applyFont="1" applyFill="1" applyAlignment="1">
      <alignment horizontal="center" wrapText="1"/>
      <protection/>
    </xf>
    <xf numFmtId="0" fontId="90" fillId="0" borderId="22" xfId="53" applyFont="1" applyFill="1" applyBorder="1" applyAlignment="1">
      <alignment horizontal="center" vertical="top" wrapText="1"/>
      <protection/>
    </xf>
    <xf numFmtId="0" fontId="75" fillId="0" borderId="0" xfId="53" applyFont="1" applyFill="1" applyBorder="1" applyAlignment="1">
      <alignment horizontal="center" wrapText="1"/>
      <protection/>
    </xf>
    <xf numFmtId="0" fontId="78" fillId="0" borderId="0" xfId="53" applyFont="1" applyFill="1" applyBorder="1" applyAlignment="1">
      <alignment horizontal="center" wrapText="1"/>
      <protection/>
    </xf>
    <xf numFmtId="0" fontId="80" fillId="0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left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vertical="center" wrapText="1"/>
    </xf>
    <xf numFmtId="176" fontId="81" fillId="0" borderId="13" xfId="0" applyNumberFormat="1" applyFont="1" applyFill="1" applyBorder="1" applyAlignment="1">
      <alignment horizontal="center" vertical="center" wrapText="1"/>
    </xf>
    <xf numFmtId="176" fontId="81" fillId="0" borderId="13" xfId="0" applyNumberFormat="1" applyFont="1" applyFill="1" applyBorder="1" applyAlignment="1">
      <alignment vertical="center" wrapText="1"/>
    </xf>
    <xf numFmtId="0" fontId="77" fillId="0" borderId="0" xfId="0" applyFont="1" applyFill="1" applyAlignment="1">
      <alignment horizontal="center" vertical="top"/>
    </xf>
    <xf numFmtId="0" fontId="7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6" fillId="0" borderId="12" xfId="0" applyFont="1" applyFill="1" applyBorder="1" applyAlignment="1">
      <alignment horizontal="left" vertical="top" wrapText="1"/>
    </xf>
    <xf numFmtId="0" fontId="76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176" fontId="79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9" fillId="0" borderId="13" xfId="0" applyFont="1" applyFill="1" applyBorder="1" applyAlignment="1">
      <alignment horizontal="left" vertical="center" wrapText="1"/>
    </xf>
    <xf numFmtId="178" fontId="79" fillId="0" borderId="13" xfId="0" applyNumberFormat="1" applyFont="1" applyFill="1" applyBorder="1" applyAlignment="1">
      <alignment horizontal="center" vertical="center" wrapText="1"/>
    </xf>
    <xf numFmtId="176" fontId="79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/>
    </xf>
    <xf numFmtId="0" fontId="76" fillId="0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171" fontId="86" fillId="0" borderId="10" xfId="62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6" fillId="33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vertical="top" wrapText="1"/>
    </xf>
    <xf numFmtId="179" fontId="86" fillId="0" borderId="10" xfId="0" applyNumberFormat="1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181" fontId="8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6" fillId="0" borderId="10" xfId="0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3" xfId="53" applyNumberFormat="1" applyFont="1" applyFill="1" applyBorder="1" applyAlignment="1">
      <alignment horizontal="center" vertical="top" wrapText="1"/>
      <protection/>
    </xf>
    <xf numFmtId="176" fontId="4" fillId="0" borderId="17" xfId="0" applyNumberFormat="1" applyFont="1" applyFill="1" applyBorder="1" applyAlignment="1">
      <alignment horizontal="center" vertical="top" wrapText="1"/>
    </xf>
    <xf numFmtId="0" fontId="4" fillId="0" borderId="10" xfId="53" applyFont="1" applyFill="1" applyBorder="1" applyAlignment="1">
      <alignment vertical="top" wrapText="1"/>
      <protection/>
    </xf>
    <xf numFmtId="176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76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top" wrapText="1"/>
      <protection/>
    </xf>
    <xf numFmtId="176" fontId="6" fillId="0" borderId="11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176" fontId="4" fillId="0" borderId="13" xfId="54" applyNumberFormat="1" applyFont="1" applyFill="1" applyBorder="1" applyAlignment="1">
      <alignment horizontal="center" vertical="top" wrapText="1"/>
      <protection/>
    </xf>
    <xf numFmtId="0" fontId="4" fillId="0" borderId="13" xfId="54" applyFont="1" applyFill="1" applyBorder="1" applyAlignment="1">
      <alignment horizontal="left" vertical="top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top" wrapText="1"/>
      <protection/>
    </xf>
    <xf numFmtId="0" fontId="75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>
      <alignment/>
      <protection/>
    </xf>
    <xf numFmtId="0" fontId="75" fillId="0" borderId="17" xfId="53" applyFont="1" applyBorder="1" applyAlignment="1">
      <alignment horizontal="center" vertical="center" wrapText="1"/>
      <protection/>
    </xf>
    <xf numFmtId="0" fontId="11" fillId="0" borderId="20" xfId="53" applyFont="1" applyBorder="1" applyAlignment="1">
      <alignment vertical="center" wrapText="1"/>
      <protection/>
    </xf>
    <xf numFmtId="0" fontId="11" fillId="0" borderId="18" xfId="53" applyFont="1" applyBorder="1" applyAlignment="1">
      <alignment vertical="center" wrapText="1"/>
      <protection/>
    </xf>
    <xf numFmtId="0" fontId="75" fillId="0" borderId="10" xfId="53" applyFont="1" applyBorder="1" applyAlignment="1">
      <alignment vertical="top" wrapText="1"/>
      <protection/>
    </xf>
    <xf numFmtId="0" fontId="11" fillId="0" borderId="10" xfId="53" applyFont="1" applyBorder="1" applyAlignment="1">
      <alignment vertical="top"/>
      <protection/>
    </xf>
    <xf numFmtId="176" fontId="75" fillId="0" borderId="10" xfId="53" applyNumberFormat="1" applyFont="1" applyBorder="1" applyAlignment="1">
      <alignment horizontal="center" vertical="center" wrapText="1"/>
      <protection/>
    </xf>
    <xf numFmtId="176" fontId="11" fillId="0" borderId="10" xfId="53" applyNumberFormat="1" applyFont="1" applyBorder="1">
      <alignment/>
      <protection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17" xfId="0" applyFont="1" applyFill="1" applyBorder="1" applyAlignment="1">
      <alignment horizontal="center" vertical="top" wrapText="1"/>
    </xf>
    <xf numFmtId="0" fontId="76" fillId="0" borderId="20" xfId="0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center" vertical="top" wrapText="1"/>
    </xf>
    <xf numFmtId="176" fontId="78" fillId="0" borderId="0" xfId="53" applyNumberFormat="1" applyFont="1" applyFill="1" applyBorder="1" applyAlignment="1">
      <alignment horizontal="center"/>
      <protection/>
    </xf>
    <xf numFmtId="176" fontId="10" fillId="0" borderId="0" xfId="53" applyNumberFormat="1" applyFont="1" applyFill="1" applyBorder="1">
      <alignment/>
      <protection/>
    </xf>
    <xf numFmtId="176" fontId="76" fillId="0" borderId="10" xfId="53" applyNumberFormat="1" applyFont="1" applyFill="1" applyBorder="1" applyAlignment="1">
      <alignment horizontal="center" vertical="center" wrapText="1"/>
      <protection/>
    </xf>
    <xf numFmtId="176" fontId="4" fillId="0" borderId="10" xfId="53" applyNumberFormat="1" applyFont="1" applyFill="1" applyBorder="1">
      <alignment/>
      <protection/>
    </xf>
    <xf numFmtId="0" fontId="75" fillId="0" borderId="0" xfId="53" applyFont="1" applyFill="1" applyBorder="1" applyAlignment="1">
      <alignment horizontal="left" wrapText="1"/>
      <protection/>
    </xf>
    <xf numFmtId="0" fontId="75" fillId="0" borderId="0" xfId="53" applyFont="1" applyFill="1" applyBorder="1" applyAlignment="1">
      <alignment/>
      <protection/>
    </xf>
    <xf numFmtId="176" fontId="75" fillId="0" borderId="0" xfId="53" applyNumberFormat="1" applyFont="1" applyFill="1" applyBorder="1" applyAlignment="1">
      <alignment horizontal="center"/>
      <protection/>
    </xf>
    <xf numFmtId="176" fontId="11" fillId="0" borderId="0" xfId="53" applyNumberFormat="1" applyFont="1" applyFill="1" applyBorder="1">
      <alignment/>
      <protection/>
    </xf>
    <xf numFmtId="0" fontId="7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76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42" applyFont="1" applyFill="1" applyAlignment="1" applyProtection="1">
      <alignment horizontal="center"/>
      <protection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6" fillId="0" borderId="17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wrapText="1"/>
    </xf>
    <xf numFmtId="0" fontId="90" fillId="0" borderId="0" xfId="53" applyFont="1" applyFill="1" applyAlignment="1">
      <alignment horizontal="left" wrapText="1"/>
      <protection/>
    </xf>
    <xf numFmtId="0" fontId="78" fillId="0" borderId="0" xfId="53" applyFont="1" applyFill="1" applyAlignment="1">
      <alignment/>
      <protection/>
    </xf>
    <xf numFmtId="176" fontId="76" fillId="0" borderId="12" xfId="53" applyNumberFormat="1" applyFont="1" applyFill="1" applyBorder="1" applyAlignment="1">
      <alignment horizontal="center" vertical="center" wrapText="1"/>
      <protection/>
    </xf>
    <xf numFmtId="176" fontId="4" fillId="0" borderId="28" xfId="53" applyNumberFormat="1" applyFont="1" applyFill="1" applyBorder="1">
      <alignment/>
      <protection/>
    </xf>
    <xf numFmtId="176" fontId="4" fillId="0" borderId="19" xfId="53" applyNumberFormat="1" applyFont="1" applyFill="1" applyBorder="1">
      <alignment/>
      <protection/>
    </xf>
    <xf numFmtId="0" fontId="90" fillId="0" borderId="0" xfId="53" applyFont="1" applyFill="1" applyAlignment="1">
      <alignment horizontal="left" vertical="center" wrapText="1"/>
      <protection/>
    </xf>
    <xf numFmtId="176" fontId="76" fillId="0" borderId="22" xfId="53" applyNumberFormat="1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>
      <alignment/>
      <protection/>
    </xf>
    <xf numFmtId="0" fontId="76" fillId="0" borderId="22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>
      <alignment/>
      <protection/>
    </xf>
    <xf numFmtId="0" fontId="4" fillId="0" borderId="11" xfId="53" applyFont="1" applyFill="1" applyBorder="1">
      <alignment/>
      <protection/>
    </xf>
    <xf numFmtId="176" fontId="4" fillId="0" borderId="29" xfId="53" applyNumberFormat="1" applyFont="1" applyFill="1" applyBorder="1">
      <alignment/>
      <protection/>
    </xf>
    <xf numFmtId="0" fontId="91" fillId="0" borderId="0" xfId="53" applyFont="1" applyFill="1" applyBorder="1" applyAlignment="1">
      <alignment horizontal="left" wrapText="1"/>
      <protection/>
    </xf>
    <xf numFmtId="0" fontId="78" fillId="0" borderId="0" xfId="53" applyFont="1" applyFill="1" applyBorder="1" applyAlignment="1">
      <alignment/>
      <protection/>
    </xf>
    <xf numFmtId="176" fontId="76" fillId="0" borderId="0" xfId="53" applyNumberFormat="1" applyFont="1" applyFill="1" applyBorder="1" applyAlignment="1">
      <alignment horizontal="center"/>
      <protection/>
    </xf>
    <xf numFmtId="176" fontId="88" fillId="0" borderId="0" xfId="53" applyNumberFormat="1" applyFont="1" applyFill="1" applyBorder="1" applyAlignment="1">
      <alignment horizontal="center"/>
      <protection/>
    </xf>
    <xf numFmtId="0" fontId="77" fillId="0" borderId="0" xfId="53" applyFont="1" applyFill="1" applyAlignment="1">
      <alignment horizontal="center"/>
      <protection/>
    </xf>
    <xf numFmtId="176" fontId="91" fillId="0" borderId="0" xfId="53" applyNumberFormat="1" applyFont="1" applyFill="1" applyBorder="1" applyAlignment="1">
      <alignment horizontal="center"/>
      <protection/>
    </xf>
    <xf numFmtId="0" fontId="79" fillId="0" borderId="12" xfId="53" applyFont="1" applyFill="1" applyBorder="1" applyAlignment="1">
      <alignment horizontal="center" vertical="center"/>
      <protection/>
    </xf>
    <xf numFmtId="0" fontId="79" fillId="0" borderId="28" xfId="53" applyFont="1" applyFill="1" applyBorder="1" applyAlignment="1">
      <alignment horizontal="center" vertical="center"/>
      <protection/>
    </xf>
    <xf numFmtId="0" fontId="79" fillId="0" borderId="30" xfId="53" applyFont="1" applyFill="1" applyBorder="1" applyAlignment="1">
      <alignment horizontal="center" vertical="center"/>
      <protection/>
    </xf>
    <xf numFmtId="0" fontId="79" fillId="0" borderId="19" xfId="53" applyFont="1" applyFill="1" applyBorder="1" applyAlignment="1">
      <alignment horizontal="center" vertical="center"/>
      <protection/>
    </xf>
    <xf numFmtId="0" fontId="76" fillId="0" borderId="12" xfId="53" applyFont="1" applyFill="1" applyBorder="1" applyAlignment="1">
      <alignment horizontal="center" vertical="center"/>
      <protection/>
    </xf>
    <xf numFmtId="0" fontId="76" fillId="0" borderId="28" xfId="53" applyFont="1" applyFill="1" applyBorder="1" applyAlignment="1">
      <alignment horizontal="center" vertical="center"/>
      <protection/>
    </xf>
    <xf numFmtId="0" fontId="76" fillId="0" borderId="30" xfId="53" applyFont="1" applyFill="1" applyBorder="1" applyAlignment="1">
      <alignment horizontal="center" vertical="center"/>
      <protection/>
    </xf>
    <xf numFmtId="0" fontId="76" fillId="0" borderId="19" xfId="53" applyFont="1" applyFill="1" applyBorder="1" applyAlignment="1">
      <alignment horizontal="center" vertical="center"/>
      <protection/>
    </xf>
    <xf numFmtId="0" fontId="76" fillId="0" borderId="0" xfId="53" applyFont="1" applyFill="1" applyAlignment="1">
      <alignment horizontal="left"/>
      <protection/>
    </xf>
    <xf numFmtId="0" fontId="79" fillId="0" borderId="14" xfId="53" applyFont="1" applyFill="1" applyBorder="1" applyAlignment="1">
      <alignment horizontal="center" vertical="center"/>
      <protection/>
    </xf>
    <xf numFmtId="0" fontId="79" fillId="0" borderId="23" xfId="53" applyFont="1" applyFill="1" applyBorder="1" applyAlignment="1">
      <alignment horizontal="center" vertical="center"/>
      <protection/>
    </xf>
    <xf numFmtId="0" fontId="6" fillId="0" borderId="30" xfId="53" applyFont="1" applyFill="1" applyBorder="1">
      <alignment/>
      <protection/>
    </xf>
    <xf numFmtId="0" fontId="6" fillId="0" borderId="24" xfId="53" applyFont="1" applyFill="1" applyBorder="1">
      <alignment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0" fontId="92" fillId="0" borderId="0" xfId="53" applyFont="1" applyFill="1" applyBorder="1" applyAlignment="1">
      <alignment horizontal="center"/>
      <protection/>
    </xf>
    <xf numFmtId="0" fontId="77" fillId="0" borderId="0" xfId="53" applyFont="1" applyFill="1" applyBorder="1" applyAlignment="1">
      <alignment horizontal="center"/>
      <protection/>
    </xf>
    <xf numFmtId="0" fontId="78" fillId="0" borderId="0" xfId="53" applyFont="1" applyFill="1" applyBorder="1" applyAlignment="1">
      <alignment horizontal="center"/>
      <protection/>
    </xf>
    <xf numFmtId="176" fontId="92" fillId="0" borderId="0" xfId="53" applyNumberFormat="1" applyFont="1" applyFill="1" applyBorder="1" applyAlignment="1">
      <alignment horizontal="center"/>
      <protection/>
    </xf>
    <xf numFmtId="176" fontId="77" fillId="0" borderId="0" xfId="53" applyNumberFormat="1" applyFont="1" applyFill="1" applyAlignment="1">
      <alignment horizontal="center"/>
      <protection/>
    </xf>
    <xf numFmtId="0" fontId="76" fillId="0" borderId="23" xfId="53" applyFont="1" applyFill="1" applyBorder="1" applyAlignment="1">
      <alignment horizontal="center" vertical="center"/>
      <protection/>
    </xf>
    <xf numFmtId="0" fontId="4" fillId="0" borderId="30" xfId="53" applyFont="1" applyFill="1" applyBorder="1">
      <alignment/>
      <protection/>
    </xf>
    <xf numFmtId="0" fontId="4" fillId="0" borderId="24" xfId="53" applyFont="1" applyFill="1" applyBorder="1">
      <alignment/>
      <protection/>
    </xf>
    <xf numFmtId="0" fontId="76" fillId="0" borderId="10" xfId="53" applyFont="1" applyFill="1" applyBorder="1" applyAlignment="1">
      <alignment horizontal="center" vertical="center"/>
      <protection/>
    </xf>
    <xf numFmtId="0" fontId="12" fillId="0" borderId="17" xfId="53" applyFont="1" applyFill="1" applyBorder="1" applyAlignment="1">
      <alignment horizontal="center" vertical="top" wrapText="1"/>
      <protection/>
    </xf>
    <xf numFmtId="0" fontId="12" fillId="0" borderId="21" xfId="53" applyFont="1" applyFill="1" applyBorder="1" applyAlignment="1">
      <alignment horizontal="center" vertical="top" wrapText="1"/>
      <protection/>
    </xf>
    <xf numFmtId="0" fontId="90" fillId="0" borderId="17" xfId="0" applyFont="1" applyFill="1" applyBorder="1" applyAlignment="1">
      <alignment horizontal="center" vertical="top" wrapText="1"/>
    </xf>
    <xf numFmtId="0" fontId="90" fillId="0" borderId="20" xfId="0" applyFont="1" applyFill="1" applyBorder="1" applyAlignment="1">
      <alignment horizontal="center" vertical="top" wrapText="1"/>
    </xf>
    <xf numFmtId="0" fontId="90" fillId="0" borderId="18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6" fillId="0" borderId="15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42" applyFont="1" applyFill="1" applyAlignment="1" applyProtection="1">
      <alignment horizontal="center"/>
      <protection/>
    </xf>
    <xf numFmtId="0" fontId="76" fillId="0" borderId="23" xfId="54" applyFont="1" applyFill="1" applyBorder="1" applyAlignment="1">
      <alignment horizontal="center" vertical="center"/>
      <protection/>
    </xf>
    <xf numFmtId="0" fontId="20" fillId="0" borderId="30" xfId="54" applyFont="1" applyFill="1" applyBorder="1">
      <alignment/>
      <protection/>
    </xf>
    <xf numFmtId="0" fontId="20" fillId="0" borderId="24" xfId="54" applyFont="1" applyFill="1" applyBorder="1">
      <alignment/>
      <protection/>
    </xf>
    <xf numFmtId="0" fontId="76" fillId="0" borderId="22" xfId="53" applyFont="1" applyFill="1" applyBorder="1" applyAlignment="1">
      <alignment horizontal="center" vertical="top" wrapText="1"/>
      <protection/>
    </xf>
    <xf numFmtId="0" fontId="4" fillId="0" borderId="29" xfId="53" applyFont="1" applyFill="1" applyBorder="1" applyAlignment="1">
      <alignment horizontal="center" vertical="top"/>
      <protection/>
    </xf>
    <xf numFmtId="0" fontId="4" fillId="0" borderId="11" xfId="53" applyFont="1" applyFill="1" applyBorder="1" applyAlignment="1">
      <alignment horizontal="center" vertical="top"/>
      <protection/>
    </xf>
    <xf numFmtId="0" fontId="88" fillId="0" borderId="0" xfId="53" applyFont="1" applyFill="1" applyBorder="1" applyAlignment="1">
      <alignment horizontal="left" vertical="top"/>
      <protection/>
    </xf>
    <xf numFmtId="0" fontId="76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76" fillId="0" borderId="10" xfId="0" applyFont="1" applyFill="1" applyBorder="1" applyAlignment="1">
      <alignment horizontal="center" vertical="top" wrapText="1"/>
    </xf>
    <xf numFmtId="0" fontId="16" fillId="0" borderId="0" xfId="42" applyFont="1" applyFill="1" applyAlignment="1" applyProtection="1">
      <alignment horizont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/>
      <protection/>
    </xf>
    <xf numFmtId="0" fontId="76" fillId="0" borderId="17" xfId="0" applyFont="1" applyFill="1" applyBorder="1" applyAlignment="1">
      <alignment horizontal="center" wrapText="1"/>
    </xf>
    <xf numFmtId="0" fontId="76" fillId="0" borderId="20" xfId="0" applyFont="1" applyFill="1" applyBorder="1" applyAlignment="1">
      <alignment horizont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 vertical="center"/>
      <protection/>
    </xf>
    <xf numFmtId="0" fontId="76" fillId="0" borderId="23" xfId="53" applyFont="1" applyFill="1" applyBorder="1" applyAlignment="1">
      <alignment horizontal="center" vertical="center" wrapText="1"/>
      <protection/>
    </xf>
    <xf numFmtId="0" fontId="76" fillId="0" borderId="30" xfId="53" applyFont="1" applyFill="1" applyBorder="1" applyAlignment="1">
      <alignment horizontal="center" vertical="center" wrapText="1"/>
      <protection/>
    </xf>
    <xf numFmtId="0" fontId="76" fillId="0" borderId="24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top" wrapText="1"/>
      <protection/>
    </xf>
    <xf numFmtId="0" fontId="93" fillId="0" borderId="0" xfId="53" applyFont="1" applyFill="1" applyAlignment="1">
      <alignment horizontal="center"/>
      <protection/>
    </xf>
    <xf numFmtId="0" fontId="94" fillId="0" borderId="0" xfId="53" applyFont="1" applyFill="1" applyAlignment="1">
      <alignment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80" fillId="0" borderId="12" xfId="54" applyFont="1" applyFill="1" applyBorder="1" applyAlignment="1">
      <alignment horizontal="center" vertical="center" wrapText="1"/>
      <protection/>
    </xf>
    <xf numFmtId="0" fontId="20" fillId="0" borderId="28" xfId="54" applyFont="1" applyFill="1" applyBorder="1">
      <alignment/>
      <protection/>
    </xf>
    <xf numFmtId="0" fontId="20" fillId="0" borderId="19" xfId="54" applyFont="1" applyFill="1" applyBorder="1">
      <alignment/>
      <protection/>
    </xf>
    <xf numFmtId="0" fontId="80" fillId="0" borderId="22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>
      <alignment/>
      <protection/>
    </xf>
    <xf numFmtId="0" fontId="90" fillId="0" borderId="0" xfId="54" applyFont="1" applyFill="1" applyAlignment="1">
      <alignment horizontal="left" wrapText="1"/>
      <protection/>
    </xf>
    <xf numFmtId="0" fontId="68" fillId="0" borderId="0" xfId="54" applyFont="1" applyFill="1" applyAlignment="1">
      <alignment/>
      <protection/>
    </xf>
    <xf numFmtId="0" fontId="20" fillId="0" borderId="29" xfId="54" applyFont="1" applyFill="1" applyBorder="1">
      <alignment/>
      <protection/>
    </xf>
    <xf numFmtId="0" fontId="90" fillId="0" borderId="31" xfId="0" applyFont="1" applyFill="1" applyBorder="1" applyAlignment="1">
      <alignment horizontal="center" vertical="top" wrapText="1"/>
    </xf>
    <xf numFmtId="0" fontId="90" fillId="0" borderId="14" xfId="0" applyFont="1" applyFill="1" applyBorder="1" applyAlignment="1">
      <alignment horizontal="center" vertical="top" wrapText="1"/>
    </xf>
    <xf numFmtId="0" fontId="78" fillId="0" borderId="30" xfId="54" applyFont="1" applyFill="1" applyBorder="1" applyAlignment="1">
      <alignment horizontal="center"/>
      <protection/>
    </xf>
    <xf numFmtId="0" fontId="20" fillId="0" borderId="29" xfId="54" applyFont="1" applyFill="1" applyBorder="1" applyAlignment="1">
      <alignment horizontal="center"/>
      <protection/>
    </xf>
    <xf numFmtId="0" fontId="20" fillId="0" borderId="11" xfId="54" applyFont="1" applyFill="1" applyBorder="1" applyAlignment="1">
      <alignment horizontal="center"/>
      <protection/>
    </xf>
    <xf numFmtId="0" fontId="77" fillId="0" borderId="0" xfId="54" applyFont="1" applyFill="1" applyAlignment="1">
      <alignment horizontal="center"/>
      <protection/>
    </xf>
    <xf numFmtId="0" fontId="77" fillId="0" borderId="14" xfId="54" applyFont="1" applyFill="1" applyBorder="1" applyAlignment="1">
      <alignment horizontal="center"/>
      <protection/>
    </xf>
    <xf numFmtId="0" fontId="20" fillId="0" borderId="14" xfId="54" applyFont="1" applyFill="1" applyBorder="1">
      <alignment/>
      <protection/>
    </xf>
    <xf numFmtId="0" fontId="21" fillId="0" borderId="14" xfId="54" applyFont="1" applyFill="1" applyBorder="1">
      <alignment/>
      <protection/>
    </xf>
    <xf numFmtId="0" fontId="76" fillId="0" borderId="0" xfId="54" applyFont="1" applyFill="1" applyAlignment="1">
      <alignment horizontal="left"/>
      <protection/>
    </xf>
    <xf numFmtId="0" fontId="90" fillId="0" borderId="0" xfId="54" applyFont="1" applyFill="1" applyAlignment="1">
      <alignment horizontal="left" vertical="center" wrapText="1"/>
      <protection/>
    </xf>
    <xf numFmtId="0" fontId="92" fillId="0" borderId="0" xfId="54" applyFont="1" applyFill="1" applyBorder="1" applyAlignment="1">
      <alignment horizontal="center"/>
      <protection/>
    </xf>
    <xf numFmtId="0" fontId="78" fillId="0" borderId="0" xfId="54" applyFont="1" applyFill="1" applyBorder="1" applyAlignment="1">
      <alignment horizontal="center"/>
      <protection/>
    </xf>
    <xf numFmtId="0" fontId="25" fillId="0" borderId="28" xfId="54" applyFont="1" applyFill="1" applyBorder="1">
      <alignment/>
      <protection/>
    </xf>
    <xf numFmtId="0" fontId="25" fillId="0" borderId="19" xfId="54" applyFont="1" applyFill="1" applyBorder="1">
      <alignment/>
      <protection/>
    </xf>
    <xf numFmtId="0" fontId="25" fillId="0" borderId="11" xfId="54" applyFont="1" applyFill="1" applyBorder="1">
      <alignment/>
      <protection/>
    </xf>
    <xf numFmtId="0" fontId="25" fillId="0" borderId="29" xfId="54" applyFont="1" applyFill="1" applyBorder="1">
      <alignment/>
      <protection/>
    </xf>
    <xf numFmtId="0" fontId="88" fillId="0" borderId="23" xfId="54" applyFont="1" applyFill="1" applyBorder="1" applyAlignment="1">
      <alignment horizontal="center" vertical="center"/>
      <protection/>
    </xf>
    <xf numFmtId="0" fontId="24" fillId="0" borderId="30" xfId="54" applyFont="1" applyFill="1" applyBorder="1">
      <alignment/>
      <protection/>
    </xf>
    <xf numFmtId="0" fontId="24" fillId="0" borderId="24" xfId="54" applyFont="1" applyFill="1" applyBorder="1">
      <alignment/>
      <protection/>
    </xf>
    <xf numFmtId="0" fontId="25" fillId="0" borderId="29" xfId="54" applyFont="1" applyFill="1" applyBorder="1" applyAlignment="1">
      <alignment horizontal="center"/>
      <protection/>
    </xf>
    <xf numFmtId="0" fontId="25" fillId="0" borderId="11" xfId="54" applyFont="1" applyFill="1" applyBorder="1" applyAlignment="1">
      <alignment horizontal="center"/>
      <protection/>
    </xf>
    <xf numFmtId="0" fontId="90" fillId="0" borderId="22" xfId="54" applyFont="1" applyFill="1" applyBorder="1" applyAlignment="1">
      <alignment horizontal="center" vertical="top" wrapText="1"/>
      <protection/>
    </xf>
    <xf numFmtId="0" fontId="90" fillId="0" borderId="11" xfId="54" applyFont="1" applyFill="1" applyBorder="1" applyAlignment="1">
      <alignment horizontal="center" vertical="top" wrapText="1"/>
      <protection/>
    </xf>
    <xf numFmtId="0" fontId="28" fillId="0" borderId="30" xfId="54" applyFont="1" applyFill="1" applyBorder="1">
      <alignment/>
      <protection/>
    </xf>
    <xf numFmtId="0" fontId="28" fillId="0" borderId="24" xfId="54" applyFont="1" applyFill="1" applyBorder="1">
      <alignment/>
      <protection/>
    </xf>
    <xf numFmtId="0" fontId="4" fillId="0" borderId="29" xfId="53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76" fillId="0" borderId="12" xfId="53" applyFont="1" applyFill="1" applyBorder="1" applyAlignment="1">
      <alignment horizontal="center" vertical="center" wrapText="1"/>
      <protection/>
    </xf>
    <xf numFmtId="0" fontId="76" fillId="0" borderId="14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90" fillId="0" borderId="33" xfId="53" applyFont="1" applyFill="1" applyBorder="1" applyAlignment="1">
      <alignment horizontal="center" vertical="top" wrapText="1"/>
      <protection/>
    </xf>
    <xf numFmtId="176" fontId="92" fillId="0" borderId="0" xfId="53" applyNumberFormat="1" applyFont="1" applyFill="1" applyAlignment="1">
      <alignment horizontal="center"/>
      <protection/>
    </xf>
    <xf numFmtId="0" fontId="76" fillId="0" borderId="12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90" fillId="0" borderId="17" xfId="53" applyFont="1" applyFill="1" applyBorder="1" applyAlignment="1">
      <alignment horizontal="center" vertical="top" wrapText="1"/>
      <protection/>
    </xf>
    <xf numFmtId="0" fontId="90" fillId="0" borderId="20" xfId="53" applyFont="1" applyFill="1" applyBorder="1" applyAlignment="1">
      <alignment horizontal="center" vertical="top" wrapText="1"/>
      <protection/>
    </xf>
    <xf numFmtId="0" fontId="90" fillId="0" borderId="18" xfId="53" applyFont="1" applyFill="1" applyBorder="1" applyAlignment="1">
      <alignment horizontal="center" vertical="top" wrapText="1"/>
      <protection/>
    </xf>
    <xf numFmtId="0" fontId="77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6" fillId="0" borderId="2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8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90" fillId="0" borderId="10" xfId="0" applyFont="1" applyFill="1" applyBorder="1" applyAlignment="1">
      <alignment horizontal="center" vertical="top" wrapText="1"/>
    </xf>
    <xf numFmtId="0" fontId="90" fillId="0" borderId="22" xfId="0" applyFont="1" applyFill="1" applyBorder="1" applyAlignment="1">
      <alignment horizontal="center" vertical="top" wrapText="1"/>
    </xf>
    <xf numFmtId="0" fontId="90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0" fillId="0" borderId="22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42" applyFont="1" applyAlignment="1" applyProtection="1">
      <alignment horizontal="center"/>
      <protection/>
    </xf>
    <xf numFmtId="0" fontId="86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3" fillId="0" borderId="3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tyjcwt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yjcw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yjcw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tyjcw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70" zoomScaleNormal="70" zoomScalePageLayoutView="0" workbookViewId="0" topLeftCell="A19">
      <selection activeCell="J15" sqref="J15"/>
    </sheetView>
  </sheetViews>
  <sheetFormatPr defaultColWidth="9.140625" defaultRowHeight="15"/>
  <cols>
    <col min="1" max="1" width="6.28125" style="62" customWidth="1"/>
    <col min="2" max="2" width="17.57421875" style="68" hidden="1" customWidth="1"/>
    <col min="3" max="3" width="40.8515625" style="62" customWidth="1"/>
    <col min="4" max="7" width="0" style="62" hidden="1" customWidth="1"/>
    <col min="8" max="8" width="16.8515625" style="62" customWidth="1"/>
    <col min="9" max="9" width="16.28125" style="62" hidden="1" customWidth="1"/>
    <col min="10" max="10" width="14.28125" style="62" customWidth="1"/>
    <col min="11" max="11" width="13.00390625" style="62" customWidth="1"/>
    <col min="12" max="12" width="13.140625" style="62" customWidth="1"/>
    <col min="13" max="13" width="11.00390625" style="62" customWidth="1"/>
    <col min="14" max="14" width="12.8515625" style="62" customWidth="1"/>
    <col min="15" max="15" width="13.421875" style="62" customWidth="1"/>
    <col min="16" max="16" width="13.7109375" style="62" customWidth="1"/>
    <col min="17" max="18" width="12.28125" style="62" customWidth="1"/>
    <col min="19" max="19" width="12.7109375" style="62" customWidth="1"/>
    <col min="20" max="20" width="13.8515625" style="62" customWidth="1"/>
    <col min="21" max="21" width="12.7109375" style="62" customWidth="1"/>
    <col min="22" max="22" width="11.140625" style="62" customWidth="1"/>
    <col min="23" max="24" width="12.7109375" style="62" customWidth="1"/>
    <col min="25" max="16384" width="9.140625" style="62" customWidth="1"/>
  </cols>
  <sheetData>
    <row r="1" spans="1:24" s="71" customFormat="1" ht="17.25">
      <c r="A1" s="333" t="s">
        <v>147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24" s="71" customFormat="1" ht="17.25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4" s="71" customFormat="1" ht="14.25">
      <c r="A3" s="335" t="s">
        <v>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24" s="71" customFormat="1" ht="18">
      <c r="A4" s="336" t="s">
        <v>148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</row>
    <row r="5" spans="1:24" s="71" customFormat="1" ht="18">
      <c r="A5" s="336" t="s">
        <v>149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</row>
    <row r="6" spans="1:24" s="2" customFormat="1" ht="13.5" customHeight="1">
      <c r="A6" s="3"/>
      <c r="B6" s="35"/>
      <c r="C6" s="3"/>
      <c r="D6" s="1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70" customFormat="1" ht="37.5" customHeight="1">
      <c r="A7" s="324" t="s">
        <v>122</v>
      </c>
      <c r="B7" s="326" t="s">
        <v>123</v>
      </c>
      <c r="C7" s="324" t="s">
        <v>150</v>
      </c>
      <c r="D7" s="329" t="s">
        <v>124</v>
      </c>
      <c r="E7" s="324" t="s">
        <v>4</v>
      </c>
      <c r="F7" s="324" t="s">
        <v>125</v>
      </c>
      <c r="G7" s="324" t="s">
        <v>126</v>
      </c>
      <c r="H7" s="331" t="s">
        <v>146</v>
      </c>
      <c r="I7" s="331" t="s">
        <v>20</v>
      </c>
      <c r="J7" s="331" t="s">
        <v>5</v>
      </c>
      <c r="K7" s="332"/>
      <c r="L7" s="332"/>
      <c r="M7" s="332"/>
      <c r="N7" s="332"/>
      <c r="O7" s="331" t="s">
        <v>5</v>
      </c>
      <c r="P7" s="332"/>
      <c r="Q7" s="332"/>
      <c r="R7" s="332"/>
      <c r="S7" s="332"/>
      <c r="T7" s="331" t="s">
        <v>5</v>
      </c>
      <c r="U7" s="332"/>
      <c r="V7" s="332"/>
      <c r="W7" s="332"/>
      <c r="X7" s="332"/>
    </row>
    <row r="8" spans="1:24" s="70" customFormat="1" ht="19.5" customHeight="1">
      <c r="A8" s="325"/>
      <c r="B8" s="327"/>
      <c r="C8" s="325"/>
      <c r="D8" s="330"/>
      <c r="E8" s="325"/>
      <c r="F8" s="325"/>
      <c r="G8" s="325"/>
      <c r="H8" s="332"/>
      <c r="I8" s="332"/>
      <c r="J8" s="331" t="s">
        <v>6</v>
      </c>
      <c r="K8" s="332"/>
      <c r="L8" s="332"/>
      <c r="M8" s="332"/>
      <c r="N8" s="332"/>
      <c r="O8" s="331" t="s">
        <v>7</v>
      </c>
      <c r="P8" s="332"/>
      <c r="Q8" s="332"/>
      <c r="R8" s="332"/>
      <c r="S8" s="332"/>
      <c r="T8" s="331" t="s">
        <v>51</v>
      </c>
      <c r="U8" s="332"/>
      <c r="V8" s="332"/>
      <c r="W8" s="332"/>
      <c r="X8" s="332"/>
    </row>
    <row r="9" spans="1:24" s="70" customFormat="1" ht="21" customHeight="1">
      <c r="A9" s="325"/>
      <c r="B9" s="327"/>
      <c r="C9" s="325"/>
      <c r="D9" s="330"/>
      <c r="E9" s="325"/>
      <c r="F9" s="325"/>
      <c r="G9" s="325"/>
      <c r="H9" s="332"/>
      <c r="I9" s="332"/>
      <c r="J9" s="331" t="s">
        <v>8</v>
      </c>
      <c r="K9" s="331" t="s">
        <v>9</v>
      </c>
      <c r="L9" s="332"/>
      <c r="M9" s="332"/>
      <c r="N9" s="332"/>
      <c r="O9" s="331" t="s">
        <v>8</v>
      </c>
      <c r="P9" s="331" t="s">
        <v>9</v>
      </c>
      <c r="Q9" s="332"/>
      <c r="R9" s="332"/>
      <c r="S9" s="332"/>
      <c r="T9" s="331" t="s">
        <v>8</v>
      </c>
      <c r="U9" s="331" t="s">
        <v>10</v>
      </c>
      <c r="V9" s="332"/>
      <c r="W9" s="332"/>
      <c r="X9" s="332"/>
    </row>
    <row r="10" spans="1:24" s="70" customFormat="1" ht="33.75" customHeight="1">
      <c r="A10" s="325"/>
      <c r="B10" s="328"/>
      <c r="C10" s="325"/>
      <c r="D10" s="330"/>
      <c r="E10" s="325"/>
      <c r="F10" s="325"/>
      <c r="G10" s="325"/>
      <c r="H10" s="332"/>
      <c r="I10" s="332"/>
      <c r="J10" s="332"/>
      <c r="K10" s="72" t="s">
        <v>11</v>
      </c>
      <c r="L10" s="72" t="s">
        <v>12</v>
      </c>
      <c r="M10" s="72" t="s">
        <v>13</v>
      </c>
      <c r="N10" s="72" t="s">
        <v>14</v>
      </c>
      <c r="O10" s="332"/>
      <c r="P10" s="72" t="s">
        <v>11</v>
      </c>
      <c r="Q10" s="72" t="s">
        <v>12</v>
      </c>
      <c r="R10" s="72" t="s">
        <v>13</v>
      </c>
      <c r="S10" s="72" t="s">
        <v>14</v>
      </c>
      <c r="T10" s="332"/>
      <c r="U10" s="72" t="s">
        <v>11</v>
      </c>
      <c r="V10" s="72" t="s">
        <v>12</v>
      </c>
      <c r="W10" s="72" t="s">
        <v>13</v>
      </c>
      <c r="X10" s="72" t="s">
        <v>14</v>
      </c>
    </row>
    <row r="11" spans="1:24" s="4" customFormat="1" ht="21" customHeight="1">
      <c r="A11" s="40">
        <v>1</v>
      </c>
      <c r="B11" s="41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  <c r="Q11" s="40">
        <v>17</v>
      </c>
      <c r="R11" s="40">
        <v>18</v>
      </c>
      <c r="S11" s="40">
        <v>19</v>
      </c>
      <c r="T11" s="40">
        <v>20</v>
      </c>
      <c r="U11" s="40">
        <v>21</v>
      </c>
      <c r="V11" s="40">
        <v>22</v>
      </c>
      <c r="W11" s="40">
        <v>23</v>
      </c>
      <c r="X11" s="40">
        <v>24</v>
      </c>
    </row>
    <row r="12" spans="1:24" ht="98.25" customHeight="1">
      <c r="A12" s="58">
        <v>1</v>
      </c>
      <c r="B12" s="59" t="s">
        <v>15</v>
      </c>
      <c r="C12" s="59" t="s">
        <v>151</v>
      </c>
      <c r="D12" s="60"/>
      <c r="E12" s="60"/>
      <c r="F12" s="60"/>
      <c r="G12" s="60"/>
      <c r="H12" s="61">
        <f>'В-Биджа'!H32</f>
        <v>11514.116</v>
      </c>
      <c r="I12" s="61">
        <f>'В-Биджа'!I32</f>
        <v>11514.116</v>
      </c>
      <c r="J12" s="61">
        <f>'В-Биджа'!J32</f>
        <v>11514.116</v>
      </c>
      <c r="K12" s="61">
        <f>'В-Биджа'!K32</f>
        <v>10358.776098</v>
      </c>
      <c r="L12" s="61">
        <f>'В-Биджа'!L32</f>
        <v>545.198742</v>
      </c>
      <c r="M12" s="61">
        <f>'В-Биджа'!M32</f>
        <v>110.14116</v>
      </c>
      <c r="N12" s="61">
        <f>'В-Биджа'!N32</f>
        <v>500</v>
      </c>
      <c r="O12" s="61">
        <f>'В-Биджа'!O32</f>
        <v>0</v>
      </c>
      <c r="P12" s="61">
        <f>'В-Биджа'!P32</f>
        <v>0</v>
      </c>
      <c r="Q12" s="61">
        <f>'В-Биджа'!Q32</f>
        <v>0</v>
      </c>
      <c r="R12" s="61">
        <f>'В-Биджа'!R32</f>
        <v>0</v>
      </c>
      <c r="S12" s="61">
        <f>'В-Биджа'!S32</f>
        <v>0</v>
      </c>
      <c r="T12" s="61">
        <f>'В-Биджа'!T32</f>
        <v>0</v>
      </c>
      <c r="U12" s="61">
        <f>'В-Биджа'!U32</f>
        <v>0</v>
      </c>
      <c r="V12" s="61">
        <f>'В-Биджа'!V32</f>
        <v>0</v>
      </c>
      <c r="W12" s="61">
        <f>'В-Биджа'!W32</f>
        <v>0</v>
      </c>
      <c r="X12" s="61">
        <f>'В-Биджа'!X32</f>
        <v>0</v>
      </c>
    </row>
    <row r="13" spans="1:24" ht="82.5" customHeight="1">
      <c r="A13" s="58">
        <v>2</v>
      </c>
      <c r="B13" s="59" t="s">
        <v>15</v>
      </c>
      <c r="C13" s="59" t="s">
        <v>152</v>
      </c>
      <c r="D13" s="60"/>
      <c r="E13" s="60"/>
      <c r="F13" s="60"/>
      <c r="G13" s="60"/>
      <c r="H13" s="61">
        <f>Весеннее!H25</f>
        <v>3646.12</v>
      </c>
      <c r="I13" s="61">
        <f>Весеннее!I25</f>
        <v>3646.12</v>
      </c>
      <c r="J13" s="61">
        <f>Весеннее!J25</f>
        <v>3646.12</v>
      </c>
      <c r="K13" s="61">
        <f>Весеннее!K25</f>
        <v>2770.82586</v>
      </c>
      <c r="L13" s="61">
        <f>Весеннее!L25</f>
        <v>145.83294</v>
      </c>
      <c r="M13" s="61">
        <f>Весеннее!M25</f>
        <v>29.461199999999998</v>
      </c>
      <c r="N13" s="61">
        <f>Весеннее!N25</f>
        <v>700</v>
      </c>
      <c r="O13" s="61">
        <f>Весеннее!O25</f>
        <v>0</v>
      </c>
      <c r="P13" s="61">
        <f>Весеннее!P25</f>
        <v>0</v>
      </c>
      <c r="Q13" s="61">
        <f>Весеннее!Q25</f>
        <v>0</v>
      </c>
      <c r="R13" s="61">
        <f>Весеннее!R25</f>
        <v>0</v>
      </c>
      <c r="S13" s="61">
        <f>Весеннее!S25</f>
        <v>0</v>
      </c>
      <c r="T13" s="61">
        <f>Весеннее!T25</f>
        <v>0</v>
      </c>
      <c r="U13" s="61">
        <f>Весеннее!U25</f>
        <v>0</v>
      </c>
      <c r="V13" s="61">
        <f>Весеннее!V25</f>
        <v>0</v>
      </c>
      <c r="W13" s="61">
        <f>Весеннее!W25</f>
        <v>0</v>
      </c>
      <c r="X13" s="61">
        <f>Весеннее!X25</f>
        <v>0</v>
      </c>
    </row>
    <row r="14" spans="1:24" ht="81.75" customHeight="1">
      <c r="A14" s="58">
        <v>3</v>
      </c>
      <c r="B14" s="59" t="s">
        <v>15</v>
      </c>
      <c r="C14" s="59" t="s">
        <v>153</v>
      </c>
      <c r="D14" s="60"/>
      <c r="E14" s="60"/>
      <c r="F14" s="60"/>
      <c r="G14" s="60"/>
      <c r="H14" s="61">
        <f>Доможаковский!H34</f>
        <v>8581.597</v>
      </c>
      <c r="I14" s="61">
        <f>Доможаковский!I34</f>
        <v>8581.597</v>
      </c>
      <c r="J14" s="61">
        <f>Доможаковский!J34</f>
        <v>8581.597</v>
      </c>
      <c r="K14" s="61">
        <f>Доможаковский!K34</f>
        <v>7598.860978499999</v>
      </c>
      <c r="L14" s="61">
        <f>Доможаковский!L34</f>
        <v>399.9400515</v>
      </c>
      <c r="M14" s="61">
        <f>Доможаковский!M34</f>
        <v>80.79597000000001</v>
      </c>
      <c r="N14" s="61">
        <f>Доможаковский!N34</f>
        <v>502</v>
      </c>
      <c r="O14" s="61">
        <f>Доможаковский!O34</f>
        <v>0</v>
      </c>
      <c r="P14" s="61">
        <f>Доможаковский!P34</f>
        <v>0</v>
      </c>
      <c r="Q14" s="61">
        <f>Доможаковский!Q34</f>
        <v>0</v>
      </c>
      <c r="R14" s="61">
        <f>Доможаковский!R34</f>
        <v>0</v>
      </c>
      <c r="S14" s="61">
        <f>Доможаковский!S34</f>
        <v>0</v>
      </c>
      <c r="T14" s="61">
        <f>Доможаковский!T34</f>
        <v>0</v>
      </c>
      <c r="U14" s="61">
        <f>Доможаковский!U34</f>
        <v>0</v>
      </c>
      <c r="V14" s="61">
        <f>Доможаковский!V34</f>
        <v>0</v>
      </c>
      <c r="W14" s="61">
        <f>Доможаковский!W34</f>
        <v>0</v>
      </c>
      <c r="X14" s="61">
        <f>Доможаковский!X34</f>
        <v>0</v>
      </c>
    </row>
    <row r="15" spans="1:24" ht="81.75" customHeight="1">
      <c r="A15" s="58">
        <v>4</v>
      </c>
      <c r="B15" s="59" t="s">
        <v>15</v>
      </c>
      <c r="C15" s="59" t="s">
        <v>154</v>
      </c>
      <c r="D15" s="60"/>
      <c r="E15" s="60"/>
      <c r="F15" s="60"/>
      <c r="G15" s="60"/>
      <c r="H15" s="61">
        <f>Калинино!H25</f>
        <v>41449.805</v>
      </c>
      <c r="I15" s="61">
        <f>Калинино!I25</f>
        <v>41449.805</v>
      </c>
      <c r="J15" s="61">
        <f>Калинино!J25</f>
        <v>41449.805</v>
      </c>
      <c r="K15" s="61">
        <f>Калинино!K25</f>
        <v>38419.2416025</v>
      </c>
      <c r="L15" s="61">
        <f>Калинино!L25</f>
        <v>2022.0653475</v>
      </c>
      <c r="M15" s="61">
        <f>Калинино!M25</f>
        <v>408.49805000000003</v>
      </c>
      <c r="N15" s="61">
        <f>Калинино!N25</f>
        <v>600</v>
      </c>
      <c r="O15" s="61">
        <f>Калинино!O25</f>
        <v>0</v>
      </c>
      <c r="P15" s="61">
        <f>Калинино!P25</f>
        <v>0</v>
      </c>
      <c r="Q15" s="61">
        <f>Калинино!Q25</f>
        <v>0</v>
      </c>
      <c r="R15" s="61">
        <f>Калинино!R25</f>
        <v>0</v>
      </c>
      <c r="S15" s="61">
        <f>Калинино!S25</f>
        <v>0</v>
      </c>
      <c r="T15" s="61">
        <f>Калинино!T25</f>
        <v>0</v>
      </c>
      <c r="U15" s="61">
        <f>Калинино!U25</f>
        <v>0</v>
      </c>
      <c r="V15" s="61">
        <f>Калинино!V25</f>
        <v>0</v>
      </c>
      <c r="W15" s="61">
        <f>Калинино!W25</f>
        <v>0</v>
      </c>
      <c r="X15" s="61">
        <f>Калинино!X25</f>
        <v>0</v>
      </c>
    </row>
    <row r="16" spans="1:24" ht="72">
      <c r="A16" s="58">
        <v>5</v>
      </c>
      <c r="B16" s="59" t="s">
        <v>15</v>
      </c>
      <c r="C16" s="59" t="s">
        <v>155</v>
      </c>
      <c r="D16" s="60"/>
      <c r="E16" s="60"/>
      <c r="F16" s="60"/>
      <c r="G16" s="60"/>
      <c r="H16" s="61">
        <f>Московское!H28</f>
        <v>4175.121999999999</v>
      </c>
      <c r="I16" s="61">
        <f>Московское!I28</f>
        <v>4175.121999999999</v>
      </c>
      <c r="J16" s="61">
        <f>Московское!J28</f>
        <v>4175.121999999999</v>
      </c>
      <c r="K16" s="61">
        <f>Московское!K28</f>
        <v>2033.193591</v>
      </c>
      <c r="L16" s="61">
        <f>Московское!L28</f>
        <v>107.010189</v>
      </c>
      <c r="M16" s="61">
        <f>Московское!M28</f>
        <v>21.61822</v>
      </c>
      <c r="N16" s="61">
        <f>Московское!N28</f>
        <v>2013.3</v>
      </c>
      <c r="O16" s="61">
        <f>Московское!O28</f>
        <v>0</v>
      </c>
      <c r="P16" s="61">
        <f>Московское!P28</f>
        <v>0</v>
      </c>
      <c r="Q16" s="61">
        <f>Московское!Q28</f>
        <v>0</v>
      </c>
      <c r="R16" s="61">
        <f>Московское!R28</f>
        <v>0</v>
      </c>
      <c r="S16" s="61">
        <f>Московское!S28</f>
        <v>0</v>
      </c>
      <c r="T16" s="61">
        <f>Московское!T28</f>
        <v>0</v>
      </c>
      <c r="U16" s="61">
        <f>Московское!U28</f>
        <v>0</v>
      </c>
      <c r="V16" s="61">
        <f>Московское!V28</f>
        <v>0</v>
      </c>
      <c r="W16" s="61">
        <f>Московское!W28</f>
        <v>0</v>
      </c>
      <c r="X16" s="61">
        <f>Московское!X28</f>
        <v>0</v>
      </c>
    </row>
    <row r="17" spans="1:24" ht="82.5" customHeight="1">
      <c r="A17" s="58">
        <v>6</v>
      </c>
      <c r="B17" s="59" t="s">
        <v>15</v>
      </c>
      <c r="C17" s="59" t="s">
        <v>156</v>
      </c>
      <c r="D17" s="60"/>
      <c r="E17" s="60"/>
      <c r="F17" s="60"/>
      <c r="G17" s="60"/>
      <c r="H17" s="61">
        <f>Опытное!H26</f>
        <v>3559.764</v>
      </c>
      <c r="I17" s="61">
        <f>Опытное!I26</f>
        <v>3559.764</v>
      </c>
      <c r="J17" s="61">
        <f>Опытное!J26</f>
        <v>3559.764</v>
      </c>
      <c r="K17" s="61">
        <f>Опытное!K26</f>
        <v>2783.658042</v>
      </c>
      <c r="L17" s="61">
        <f>Опытное!L26</f>
        <v>146.508318</v>
      </c>
      <c r="M17" s="61">
        <f>Опытное!M26</f>
        <v>29.59764</v>
      </c>
      <c r="N17" s="61">
        <f>Опытное!N26</f>
        <v>600</v>
      </c>
      <c r="O17" s="61">
        <f>Опытное!O26</f>
        <v>0</v>
      </c>
      <c r="P17" s="61">
        <f>Опытное!P26</f>
        <v>0</v>
      </c>
      <c r="Q17" s="61">
        <f>Опытное!Q26</f>
        <v>0</v>
      </c>
      <c r="R17" s="61">
        <f>Опытное!R26</f>
        <v>0</v>
      </c>
      <c r="S17" s="61">
        <f>Опытное!S26</f>
        <v>0</v>
      </c>
      <c r="T17" s="61">
        <f>Опытное!T26</f>
        <v>0</v>
      </c>
      <c r="U17" s="61">
        <f>Опытное!U26</f>
        <v>0</v>
      </c>
      <c r="V17" s="61">
        <f>Опытное!V26</f>
        <v>0</v>
      </c>
      <c r="W17" s="61">
        <f>Опытное!W26</f>
        <v>0</v>
      </c>
      <c r="X17" s="61">
        <f>Опытное!X26</f>
        <v>0</v>
      </c>
    </row>
    <row r="18" spans="1:24" ht="83.25" customHeight="1">
      <c r="A18" s="58">
        <v>7</v>
      </c>
      <c r="B18" s="59" t="s">
        <v>15</v>
      </c>
      <c r="C18" s="59" t="s">
        <v>157</v>
      </c>
      <c r="D18" s="60"/>
      <c r="E18" s="60"/>
      <c r="F18" s="60"/>
      <c r="G18" s="60"/>
      <c r="H18" s="61">
        <f>Райковский!H23</f>
        <v>6111.067</v>
      </c>
      <c r="I18" s="61">
        <f>Райковский!I23</f>
        <v>6111.067</v>
      </c>
      <c r="J18" s="61">
        <f>Райковский!J23</f>
        <v>6111.067</v>
      </c>
      <c r="K18" s="61">
        <f>Райковский!K23</f>
        <v>2867.2713135</v>
      </c>
      <c r="L18" s="61">
        <f>Райковский!L23</f>
        <v>150.9090165</v>
      </c>
      <c r="M18" s="61">
        <f>Райковский!M23</f>
        <v>30.48667</v>
      </c>
      <c r="N18" s="61">
        <f>Райковский!N23</f>
        <v>3062.4</v>
      </c>
      <c r="O18" s="61">
        <f>Райковский!O23</f>
        <v>0</v>
      </c>
      <c r="P18" s="61">
        <f>Райковский!P23</f>
        <v>0</v>
      </c>
      <c r="Q18" s="61">
        <f>Райковский!Q23</f>
        <v>0</v>
      </c>
      <c r="R18" s="61">
        <f>Райковский!R23</f>
        <v>0</v>
      </c>
      <c r="S18" s="61">
        <f>Райковский!S23</f>
        <v>0</v>
      </c>
      <c r="T18" s="61">
        <f>Райковский!T23</f>
        <v>0</v>
      </c>
      <c r="U18" s="61">
        <f>Райковский!U23</f>
        <v>0</v>
      </c>
      <c r="V18" s="61">
        <f>Райковский!V23</f>
        <v>0</v>
      </c>
      <c r="W18" s="61">
        <f>Райковский!W23</f>
        <v>0</v>
      </c>
      <c r="X18" s="61">
        <f>Райковский!X23</f>
        <v>0</v>
      </c>
    </row>
    <row r="19" spans="1:24" ht="72">
      <c r="A19" s="58">
        <v>8</v>
      </c>
      <c r="B19" s="59" t="s">
        <v>15</v>
      </c>
      <c r="C19" s="59" t="s">
        <v>158</v>
      </c>
      <c r="D19" s="60"/>
      <c r="E19" s="60"/>
      <c r="F19" s="60"/>
      <c r="G19" s="60"/>
      <c r="H19" s="61">
        <f>Расцвет!H28</f>
        <v>52009.166</v>
      </c>
      <c r="I19" s="61">
        <f>Расцвет!I28</f>
        <v>52009.166</v>
      </c>
      <c r="J19" s="61">
        <f>Расцвет!J28</f>
        <v>52009.166</v>
      </c>
      <c r="K19" s="61">
        <f>Расцвет!K28</f>
        <v>47899.364980499995</v>
      </c>
      <c r="L19" s="61">
        <f>Расцвет!L28</f>
        <v>2521.0192094999998</v>
      </c>
      <c r="M19" s="61">
        <f>Расцвет!M28</f>
        <v>509.29681000000005</v>
      </c>
      <c r="N19" s="61">
        <f>Расцвет!N28</f>
        <v>1079.485</v>
      </c>
      <c r="O19" s="61">
        <f>Расцвет!O28</f>
        <v>0</v>
      </c>
      <c r="P19" s="61">
        <f>Расцвет!P28</f>
        <v>0</v>
      </c>
      <c r="Q19" s="61">
        <f>Расцвет!Q28</f>
        <v>0</v>
      </c>
      <c r="R19" s="61">
        <f>Расцвет!R28</f>
        <v>0</v>
      </c>
      <c r="S19" s="61">
        <f>Расцвет!S28</f>
        <v>0</v>
      </c>
      <c r="T19" s="61">
        <f>Расцвет!T28</f>
        <v>0</v>
      </c>
      <c r="U19" s="61">
        <f>Расцвет!U28</f>
        <v>0</v>
      </c>
      <c r="V19" s="61">
        <f>Расцвет!V28</f>
        <v>0</v>
      </c>
      <c r="W19" s="61">
        <f>Расцвет!W28</f>
        <v>0</v>
      </c>
      <c r="X19" s="61">
        <f>Расцвет!X28</f>
        <v>0</v>
      </c>
    </row>
    <row r="20" spans="1:24" ht="54">
      <c r="A20" s="58">
        <v>9</v>
      </c>
      <c r="B20" s="59" t="s">
        <v>15</v>
      </c>
      <c r="C20" s="59" t="s">
        <v>159</v>
      </c>
      <c r="D20" s="60"/>
      <c r="E20" s="60"/>
      <c r="F20" s="60"/>
      <c r="G20" s="60"/>
      <c r="H20" s="61">
        <f>'У-Абакан'!H34</f>
        <v>159806.56876000002</v>
      </c>
      <c r="I20" s="61">
        <f>'У-Абакан'!I34</f>
        <v>159806.56876000002</v>
      </c>
      <c r="J20" s="61">
        <f>'У-Абакан'!J34</f>
        <v>159806.56876000002</v>
      </c>
      <c r="K20" s="61">
        <f>'У-Абакан'!K34</f>
        <v>144184.82791878</v>
      </c>
      <c r="L20" s="61">
        <f>'У-Абакан'!L34</f>
        <v>7588.67515362</v>
      </c>
      <c r="M20" s="61">
        <f>'У-Абакан'!M34</f>
        <v>1533.0656876000005</v>
      </c>
      <c r="N20" s="61">
        <f>'У-Абакан'!N34</f>
        <v>6500</v>
      </c>
      <c r="O20" s="61">
        <f>'У-Абакан'!O34</f>
        <v>0</v>
      </c>
      <c r="P20" s="61">
        <f>'У-Абакан'!P34</f>
        <v>0</v>
      </c>
      <c r="Q20" s="61">
        <f>'У-Абакан'!Q34</f>
        <v>0</v>
      </c>
      <c r="R20" s="61">
        <f>'У-Абакан'!R34</f>
        <v>0</v>
      </c>
      <c r="S20" s="61">
        <f>'У-Абакан'!S34</f>
        <v>0</v>
      </c>
      <c r="T20" s="61">
        <f>'У-Абакан'!T34</f>
        <v>0</v>
      </c>
      <c r="U20" s="61">
        <f>'У-Абакан'!U34</f>
        <v>0</v>
      </c>
      <c r="V20" s="61">
        <f>'У-Абакан'!V34</f>
        <v>0</v>
      </c>
      <c r="W20" s="61">
        <f>'У-Абакан'!W34</f>
        <v>0</v>
      </c>
      <c r="X20" s="61">
        <f>'У-Абакан'!X34</f>
        <v>0</v>
      </c>
    </row>
    <row r="21" spans="1:24" ht="81.75" customHeight="1">
      <c r="A21" s="58">
        <v>10</v>
      </c>
      <c r="B21" s="59" t="s">
        <v>15</v>
      </c>
      <c r="C21" s="59" t="s">
        <v>160</v>
      </c>
      <c r="D21" s="60"/>
      <c r="E21" s="60"/>
      <c r="F21" s="60"/>
      <c r="G21" s="60"/>
      <c r="H21" s="61">
        <f>'Усть-Бюр'!H28</f>
        <v>9422.688</v>
      </c>
      <c r="I21" s="61">
        <f>'Усть-Бюр'!I28</f>
        <v>9422.688</v>
      </c>
      <c r="J21" s="61">
        <f>'Усть-Бюр'!J28</f>
        <v>9422.688</v>
      </c>
      <c r="K21" s="61">
        <f>'Усть-Бюр'!K28</f>
        <v>8391.788064</v>
      </c>
      <c r="L21" s="61">
        <f>'Усть-Бюр'!L28</f>
        <v>441.67305600000003</v>
      </c>
      <c r="M21" s="61">
        <f>'Усть-Бюр'!M28</f>
        <v>89.22688000000001</v>
      </c>
      <c r="N21" s="61">
        <f>'Усть-Бюр'!N28</f>
        <v>500</v>
      </c>
      <c r="O21" s="61">
        <f>'Усть-Бюр'!O28</f>
        <v>0</v>
      </c>
      <c r="P21" s="61">
        <f>'Усть-Бюр'!P28</f>
        <v>0</v>
      </c>
      <c r="Q21" s="61">
        <f>'Усть-Бюр'!Q28</f>
        <v>0</v>
      </c>
      <c r="R21" s="61">
        <f>'Усть-Бюр'!R28</f>
        <v>0</v>
      </c>
      <c r="S21" s="61">
        <f>'Усть-Бюр'!S28</f>
        <v>0</v>
      </c>
      <c r="T21" s="61">
        <f>'Усть-Бюр'!T28</f>
        <v>0</v>
      </c>
      <c r="U21" s="61">
        <f>'Усть-Бюр'!U28</f>
        <v>0</v>
      </c>
      <c r="V21" s="61">
        <f>'Усть-Бюр'!V28</f>
        <v>0</v>
      </c>
      <c r="W21" s="61">
        <f>'Усть-Бюр'!W28</f>
        <v>0</v>
      </c>
      <c r="X21" s="61">
        <f>'Усть-Бюр'!X28</f>
        <v>0</v>
      </c>
    </row>
    <row r="22" spans="1:24" ht="60.75" customHeight="1">
      <c r="A22" s="58">
        <v>11</v>
      </c>
      <c r="B22" s="59" t="s">
        <v>15</v>
      </c>
      <c r="C22" s="59" t="s">
        <v>161</v>
      </c>
      <c r="D22" s="60"/>
      <c r="E22" s="60"/>
      <c r="F22" s="60"/>
      <c r="G22" s="60"/>
      <c r="H22" s="61">
        <f>Чарки!H30</f>
        <v>8860.846</v>
      </c>
      <c r="I22" s="61">
        <f>Чарки!I30</f>
        <v>8860.846</v>
      </c>
      <c r="J22" s="61">
        <f>Чарки!J30</f>
        <v>8860.846</v>
      </c>
      <c r="K22" s="61">
        <f>Чарки!K30</f>
        <v>7675.275662999999</v>
      </c>
      <c r="L22" s="61">
        <f>Чарки!L30</f>
        <v>403.961877</v>
      </c>
      <c r="M22" s="61">
        <f>Чарки!M30</f>
        <v>81.60846000000001</v>
      </c>
      <c r="N22" s="61">
        <f>Чарки!N30</f>
        <v>700</v>
      </c>
      <c r="O22" s="61">
        <f>Чарки!O30</f>
        <v>0</v>
      </c>
      <c r="P22" s="61">
        <f>Чарки!P30</f>
        <v>0</v>
      </c>
      <c r="Q22" s="61">
        <f>Чарки!Q30</f>
        <v>0</v>
      </c>
      <c r="R22" s="61">
        <f>Чарки!R30</f>
        <v>0</v>
      </c>
      <c r="S22" s="61">
        <f>Чарки!S30</f>
        <v>0</v>
      </c>
      <c r="T22" s="61">
        <f>Чарки!T30</f>
        <v>0</v>
      </c>
      <c r="U22" s="61">
        <f>Чарки!U30</f>
        <v>0</v>
      </c>
      <c r="V22" s="61">
        <f>Чарки!V30</f>
        <v>0</v>
      </c>
      <c r="W22" s="61">
        <f>Чарки!W30</f>
        <v>0</v>
      </c>
      <c r="X22" s="61">
        <f>Чарки!X30</f>
        <v>0</v>
      </c>
    </row>
    <row r="23" spans="1:24" s="67" customFormat="1" ht="32.25" customHeight="1">
      <c r="A23" s="64"/>
      <c r="B23" s="65"/>
      <c r="C23" s="64"/>
      <c r="D23" s="64"/>
      <c r="E23" s="64"/>
      <c r="F23" s="64"/>
      <c r="G23" s="64"/>
      <c r="H23" s="66">
        <f>SUM(H12:H22)</f>
        <v>309136.8597600001</v>
      </c>
      <c r="I23" s="66">
        <f aca="true" t="shared" si="0" ref="I23:X23">SUM(I12:I22)</f>
        <v>309136.8597600001</v>
      </c>
      <c r="J23" s="66">
        <f t="shared" si="0"/>
        <v>309136.8597600001</v>
      </c>
      <c r="K23" s="66">
        <f t="shared" si="0"/>
        <v>274983.08411178004</v>
      </c>
      <c r="L23" s="66">
        <f t="shared" si="0"/>
        <v>14472.793900619998</v>
      </c>
      <c r="M23" s="66">
        <f t="shared" si="0"/>
        <v>2923.796747600001</v>
      </c>
      <c r="N23" s="66">
        <f t="shared" si="0"/>
        <v>16757.185</v>
      </c>
      <c r="O23" s="66">
        <f t="shared" si="0"/>
        <v>0</v>
      </c>
      <c r="P23" s="66">
        <f t="shared" si="0"/>
        <v>0</v>
      </c>
      <c r="Q23" s="66">
        <f t="shared" si="0"/>
        <v>0</v>
      </c>
      <c r="R23" s="66">
        <f t="shared" si="0"/>
        <v>0</v>
      </c>
      <c r="S23" s="66">
        <f t="shared" si="0"/>
        <v>0</v>
      </c>
      <c r="T23" s="66">
        <f t="shared" si="0"/>
        <v>0</v>
      </c>
      <c r="U23" s="66">
        <f t="shared" si="0"/>
        <v>0</v>
      </c>
      <c r="V23" s="66">
        <f t="shared" si="0"/>
        <v>0</v>
      </c>
      <c r="W23" s="66">
        <f t="shared" si="0"/>
        <v>0</v>
      </c>
      <c r="X23" s="66">
        <f t="shared" si="0"/>
        <v>0</v>
      </c>
    </row>
    <row r="24" spans="8:24" ht="13.5"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8:24" ht="13.5" hidden="1">
      <c r="H25" s="69"/>
      <c r="I25" s="69"/>
      <c r="J25" s="69">
        <f>J23+O23+T23</f>
        <v>309136.8597600001</v>
      </c>
      <c r="K25" s="69">
        <f>K23+P23+U23</f>
        <v>274983.08411178004</v>
      </c>
      <c r="L25" s="69">
        <f>L23+Q23+V23</f>
        <v>14472.793900619998</v>
      </c>
      <c r="M25" s="69">
        <f>M23+R23+W23</f>
        <v>2923.796747600001</v>
      </c>
      <c r="N25" s="69">
        <f>N23+S23+X23</f>
        <v>16757.185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8:24" ht="13.5"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</sheetData>
  <sheetProtection/>
  <mergeCells count="26">
    <mergeCell ref="A1:X1"/>
    <mergeCell ref="A2:X2"/>
    <mergeCell ref="A3:X3"/>
    <mergeCell ref="A4:X4"/>
    <mergeCell ref="A5:X5"/>
    <mergeCell ref="K9:N9"/>
    <mergeCell ref="O9:O10"/>
    <mergeCell ref="P9:S9"/>
    <mergeCell ref="T9:T10"/>
    <mergeCell ref="U9:X9"/>
    <mergeCell ref="G7:G10"/>
    <mergeCell ref="H7:H10"/>
    <mergeCell ref="I7:I10"/>
    <mergeCell ref="J7:N7"/>
    <mergeCell ref="O7:S7"/>
    <mergeCell ref="T7:X7"/>
    <mergeCell ref="J8:N8"/>
    <mergeCell ref="O8:S8"/>
    <mergeCell ref="T8:X8"/>
    <mergeCell ref="J9:J10"/>
    <mergeCell ref="A7:A10"/>
    <mergeCell ref="B7:B10"/>
    <mergeCell ref="C7:C10"/>
    <mergeCell ref="D7:D10"/>
    <mergeCell ref="E7:E10"/>
    <mergeCell ref="F7:F10"/>
  </mergeCells>
  <printOptions/>
  <pageMargins left="0.3937007874015748" right="0.3937007874015748" top="1.1811023622047243" bottom="0.7874015748031497" header="0.1968503937007874" footer="0.1968503937007874"/>
  <pageSetup fitToHeight="0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SheetLayoutView="100" workbookViewId="0" topLeftCell="A10">
      <selection activeCell="F17" sqref="F17"/>
    </sheetView>
  </sheetViews>
  <sheetFormatPr defaultColWidth="14.421875" defaultRowHeight="15" customHeight="1"/>
  <cols>
    <col min="1" max="1" width="5.8515625" style="26" customWidth="1"/>
    <col min="2" max="2" width="16.28125" style="26" customWidth="1"/>
    <col min="3" max="3" width="13.8515625" style="26" customWidth="1"/>
    <col min="4" max="4" width="19.8515625" style="26" customWidth="1"/>
    <col min="5" max="5" width="15.57421875" style="26" customWidth="1"/>
    <col min="6" max="6" width="15.00390625" style="252" customWidth="1"/>
    <col min="7" max="7" width="14.7109375" style="26" customWidth="1"/>
    <col min="8" max="8" width="11.8515625" style="23" customWidth="1"/>
    <col min="9" max="9" width="13.7109375" style="23" customWidth="1"/>
    <col min="10" max="10" width="9.7109375" style="23" customWidth="1"/>
    <col min="11" max="11" width="10.140625" style="23" customWidth="1"/>
    <col min="12" max="13" width="8.7109375" style="23" customWidth="1"/>
    <col min="14" max="14" width="7.28125" style="23" customWidth="1"/>
    <col min="15" max="17" width="8.7109375" style="23" customWidth="1"/>
    <col min="18" max="18" width="6.8515625" style="23" customWidth="1"/>
    <col min="19" max="19" width="4.421875" style="23" customWidth="1"/>
    <col min="20" max="20" width="6.7109375" style="23" customWidth="1"/>
    <col min="21" max="21" width="8.57421875" style="23" customWidth="1"/>
    <col min="22" max="22" width="5.57421875" style="23" customWidth="1"/>
    <col min="23" max="23" width="5.28125" style="23" customWidth="1"/>
    <col min="24" max="24" width="4.421875" style="23" customWidth="1"/>
    <col min="25" max="16384" width="14.421875" style="26" customWidth="1"/>
  </cols>
  <sheetData>
    <row r="1" spans="1:24" ht="17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</row>
    <row r="2" spans="1:18" ht="17.25">
      <c r="A2" s="157"/>
      <c r="B2" s="157"/>
      <c r="C2" s="157"/>
      <c r="D2" s="157"/>
      <c r="E2" s="157"/>
      <c r="F2" s="251"/>
      <c r="G2" s="15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4" ht="17.25">
      <c r="A3" s="399" t="s">
        <v>81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4" spans="1:24" ht="18.75" customHeight="1">
      <c r="A4" s="401" t="s">
        <v>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</row>
    <row r="5" spans="1:18" ht="4.5" customHeight="1">
      <c r="A5" s="157"/>
      <c r="B5" s="157"/>
      <c r="C5" s="157"/>
      <c r="D5" s="158"/>
      <c r="E5" s="158"/>
      <c r="G5" s="158"/>
      <c r="H5" s="16"/>
      <c r="I5" s="16"/>
      <c r="J5" s="16"/>
      <c r="K5" s="16"/>
      <c r="L5" s="16"/>
      <c r="M5" s="16"/>
      <c r="N5" s="15"/>
      <c r="O5" s="15"/>
      <c r="P5" s="15"/>
      <c r="Q5" s="15"/>
      <c r="R5" s="15"/>
    </row>
    <row r="6" spans="1:24" ht="17.25">
      <c r="A6" s="402" t="s">
        <v>62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</row>
    <row r="7" spans="1:24" ht="13.5">
      <c r="A7" s="340" t="s">
        <v>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4" ht="16.5" customHeight="1">
      <c r="A8" s="491" t="s">
        <v>61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</row>
    <row r="10" spans="1:24" ht="37.5" customHeight="1">
      <c r="A10" s="375" t="s">
        <v>57</v>
      </c>
      <c r="B10" s="375" t="s">
        <v>56</v>
      </c>
      <c r="C10" s="375" t="s">
        <v>3</v>
      </c>
      <c r="D10" s="375" t="s">
        <v>55</v>
      </c>
      <c r="E10" s="375" t="s">
        <v>4</v>
      </c>
      <c r="F10" s="375" t="s">
        <v>54</v>
      </c>
      <c r="G10" s="375" t="s">
        <v>53</v>
      </c>
      <c r="H10" s="373" t="s">
        <v>52</v>
      </c>
      <c r="I10" s="373" t="s">
        <v>20</v>
      </c>
      <c r="J10" s="369" t="s">
        <v>5</v>
      </c>
      <c r="K10" s="370"/>
      <c r="L10" s="370"/>
      <c r="M10" s="370"/>
      <c r="N10" s="371"/>
      <c r="O10" s="369" t="s">
        <v>5</v>
      </c>
      <c r="P10" s="370"/>
      <c r="Q10" s="370"/>
      <c r="R10" s="370"/>
      <c r="S10" s="371"/>
      <c r="T10" s="369" t="s">
        <v>5</v>
      </c>
      <c r="U10" s="370"/>
      <c r="V10" s="370"/>
      <c r="W10" s="370"/>
      <c r="X10" s="371"/>
    </row>
    <row r="11" spans="1:24" ht="27.75" customHeight="1">
      <c r="A11" s="376"/>
      <c r="B11" s="376"/>
      <c r="C11" s="376"/>
      <c r="D11" s="376"/>
      <c r="E11" s="376"/>
      <c r="F11" s="484"/>
      <c r="G11" s="376"/>
      <c r="H11" s="378"/>
      <c r="I11" s="378"/>
      <c r="J11" s="369" t="s">
        <v>6</v>
      </c>
      <c r="K11" s="370"/>
      <c r="L11" s="370"/>
      <c r="M11" s="370"/>
      <c r="N11" s="371"/>
      <c r="O11" s="369" t="s">
        <v>7</v>
      </c>
      <c r="P11" s="370"/>
      <c r="Q11" s="370"/>
      <c r="R11" s="370"/>
      <c r="S11" s="371"/>
      <c r="T11" s="369" t="s">
        <v>51</v>
      </c>
      <c r="U11" s="370"/>
      <c r="V11" s="370"/>
      <c r="W11" s="370"/>
      <c r="X11" s="371"/>
    </row>
    <row r="12" spans="1:24" ht="30" customHeight="1">
      <c r="A12" s="376"/>
      <c r="B12" s="376"/>
      <c r="C12" s="376"/>
      <c r="D12" s="376"/>
      <c r="E12" s="376"/>
      <c r="F12" s="484"/>
      <c r="G12" s="376"/>
      <c r="H12" s="378"/>
      <c r="I12" s="378"/>
      <c r="J12" s="373" t="s">
        <v>8</v>
      </c>
      <c r="K12" s="369" t="s">
        <v>9</v>
      </c>
      <c r="L12" s="370"/>
      <c r="M12" s="370"/>
      <c r="N12" s="371"/>
      <c r="O12" s="373" t="s">
        <v>8</v>
      </c>
      <c r="P12" s="369" t="s">
        <v>9</v>
      </c>
      <c r="Q12" s="370"/>
      <c r="R12" s="370"/>
      <c r="S12" s="371"/>
      <c r="T12" s="373" t="s">
        <v>8</v>
      </c>
      <c r="U12" s="369" t="s">
        <v>10</v>
      </c>
      <c r="V12" s="370"/>
      <c r="W12" s="370"/>
      <c r="X12" s="371"/>
    </row>
    <row r="13" spans="1:24" ht="24.75" customHeight="1">
      <c r="A13" s="377"/>
      <c r="B13" s="377"/>
      <c r="C13" s="377"/>
      <c r="D13" s="377"/>
      <c r="E13" s="377"/>
      <c r="F13" s="485"/>
      <c r="G13" s="377"/>
      <c r="H13" s="374"/>
      <c r="I13" s="374"/>
      <c r="J13" s="374"/>
      <c r="K13" s="159" t="s">
        <v>50</v>
      </c>
      <c r="L13" s="159" t="s">
        <v>49</v>
      </c>
      <c r="M13" s="159" t="s">
        <v>48</v>
      </c>
      <c r="N13" s="159" t="s">
        <v>47</v>
      </c>
      <c r="O13" s="374"/>
      <c r="P13" s="159" t="s">
        <v>11</v>
      </c>
      <c r="Q13" s="159" t="s">
        <v>12</v>
      </c>
      <c r="R13" s="159" t="s">
        <v>13</v>
      </c>
      <c r="S13" s="159" t="s">
        <v>14</v>
      </c>
      <c r="T13" s="374"/>
      <c r="U13" s="159" t="s">
        <v>11</v>
      </c>
      <c r="V13" s="159" t="s">
        <v>12</v>
      </c>
      <c r="W13" s="159" t="s">
        <v>13</v>
      </c>
      <c r="X13" s="159" t="s">
        <v>14</v>
      </c>
    </row>
    <row r="14" spans="1:24" ht="13.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</row>
    <row r="15" spans="1:24" ht="13.5">
      <c r="A15" s="404" t="s">
        <v>63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6"/>
    </row>
    <row r="16" spans="1:24" s="178" customFormat="1" ht="111" customHeight="1">
      <c r="A16" s="37">
        <v>1</v>
      </c>
      <c r="B16" s="11" t="s">
        <v>167</v>
      </c>
      <c r="C16" s="6" t="s">
        <v>176</v>
      </c>
      <c r="D16" s="11" t="s">
        <v>177</v>
      </c>
      <c r="E16" s="486" t="s">
        <v>225</v>
      </c>
      <c r="F16" s="149" t="s">
        <v>287</v>
      </c>
      <c r="G16" s="155">
        <v>2020</v>
      </c>
      <c r="H16" s="9">
        <v>37926.24</v>
      </c>
      <c r="I16" s="9">
        <v>37926.24</v>
      </c>
      <c r="J16" s="9">
        <v>37926.24</v>
      </c>
      <c r="K16" s="10">
        <f>(J16-N16-M16)*95%</f>
        <v>35669.62871999999</v>
      </c>
      <c r="L16" s="10">
        <f>(J16-N16-M16)*5%</f>
        <v>1877.34888</v>
      </c>
      <c r="M16" s="10">
        <f>(J16-N16-(H16-I16))*1%+(H16-I16)</f>
        <v>379.2624</v>
      </c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</row>
    <row r="17" spans="1:24" s="178" customFormat="1" ht="109.5" customHeight="1">
      <c r="A17" s="37">
        <v>2</v>
      </c>
      <c r="B17" s="11" t="s">
        <v>167</v>
      </c>
      <c r="C17" s="6" t="s">
        <v>193</v>
      </c>
      <c r="D17" s="11" t="s">
        <v>218</v>
      </c>
      <c r="E17" s="486"/>
      <c r="F17" s="149" t="s">
        <v>288</v>
      </c>
      <c r="G17" s="155">
        <v>2020</v>
      </c>
      <c r="H17" s="9">
        <v>1079.485</v>
      </c>
      <c r="I17" s="9">
        <v>1079.485</v>
      </c>
      <c r="J17" s="9">
        <v>1079.485</v>
      </c>
      <c r="K17" s="10">
        <f>(J17-N17-M17)*95%</f>
        <v>0</v>
      </c>
      <c r="L17" s="10">
        <f>(J17-N17-M17)*5%</f>
        <v>0</v>
      </c>
      <c r="M17" s="10">
        <f>(J17-N17-(H17-I17))*1%+(H17-I17)</f>
        <v>0</v>
      </c>
      <c r="N17" s="9">
        <v>1079.485</v>
      </c>
      <c r="O17" s="9"/>
      <c r="P17" s="9"/>
      <c r="Q17" s="9"/>
      <c r="R17" s="9"/>
      <c r="S17" s="10"/>
      <c r="T17" s="10"/>
      <c r="U17" s="10"/>
      <c r="V17" s="10"/>
      <c r="W17" s="10"/>
      <c r="X17" s="10"/>
    </row>
    <row r="18" spans="1:24" ht="31.5" customHeight="1">
      <c r="A18" s="163"/>
      <c r="B18" s="164" t="s">
        <v>16</v>
      </c>
      <c r="C18" s="164" t="s">
        <v>16</v>
      </c>
      <c r="D18" s="101" t="s">
        <v>17</v>
      </c>
      <c r="E18" s="165" t="s">
        <v>16</v>
      </c>
      <c r="F18" s="165" t="s">
        <v>16</v>
      </c>
      <c r="G18" s="165" t="s">
        <v>16</v>
      </c>
      <c r="H18" s="18">
        <f>SUM(H16:H17)</f>
        <v>39005.725</v>
      </c>
      <c r="I18" s="18">
        <f aca="true" t="shared" si="0" ref="I18:N18">SUM(I16:I17)</f>
        <v>39005.725</v>
      </c>
      <c r="J18" s="18">
        <f t="shared" si="0"/>
        <v>39005.725</v>
      </c>
      <c r="K18" s="18">
        <f t="shared" si="0"/>
        <v>35669.62871999999</v>
      </c>
      <c r="L18" s="18">
        <f t="shared" si="0"/>
        <v>1877.34888</v>
      </c>
      <c r="M18" s="18">
        <f t="shared" si="0"/>
        <v>379.2624</v>
      </c>
      <c r="N18" s="18">
        <f t="shared" si="0"/>
        <v>1079.485</v>
      </c>
      <c r="O18" s="18">
        <f aca="true" t="shared" si="1" ref="O18:X18">SUM(O16:O17)</f>
        <v>0</v>
      </c>
      <c r="P18" s="18">
        <f t="shared" si="1"/>
        <v>0</v>
      </c>
      <c r="Q18" s="18">
        <f t="shared" si="1"/>
        <v>0</v>
      </c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</row>
    <row r="19" spans="1:24" ht="15.75" customHeight="1">
      <c r="A19" s="487" t="s">
        <v>65</v>
      </c>
      <c r="B19" s="390"/>
      <c r="C19" s="390"/>
      <c r="D19" s="391"/>
      <c r="E19" s="390"/>
      <c r="F19" s="390"/>
      <c r="G19" s="390"/>
      <c r="H19" s="488"/>
      <c r="I19" s="488"/>
      <c r="J19" s="488"/>
      <c r="K19" s="488"/>
      <c r="L19" s="488"/>
      <c r="M19" s="488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2"/>
    </row>
    <row r="20" spans="1:24" ht="42.75" customHeight="1">
      <c r="A20" s="51">
        <v>3</v>
      </c>
      <c r="B20" s="52" t="s">
        <v>167</v>
      </c>
      <c r="C20" s="8" t="s">
        <v>176</v>
      </c>
      <c r="D20" s="11" t="s">
        <v>255</v>
      </c>
      <c r="E20" s="490"/>
      <c r="F20" s="51" t="s">
        <v>44</v>
      </c>
      <c r="G20" s="51">
        <v>2020</v>
      </c>
      <c r="H20" s="53">
        <v>3000</v>
      </c>
      <c r="I20" s="53">
        <v>3000</v>
      </c>
      <c r="J20" s="53">
        <v>3000</v>
      </c>
      <c r="K20" s="10">
        <f>(J20-N20-M20)*95%</f>
        <v>2821.5</v>
      </c>
      <c r="L20" s="10">
        <f>(J20-N20-M20)*5%</f>
        <v>148.5</v>
      </c>
      <c r="M20" s="10">
        <f>(J20-N20-(H20-I20))*1%+(H20-I20)</f>
        <v>30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ht="55.5" customHeight="1">
      <c r="A21" s="51">
        <v>4</v>
      </c>
      <c r="B21" s="52" t="s">
        <v>167</v>
      </c>
      <c r="C21" s="8" t="s">
        <v>176</v>
      </c>
      <c r="D21" s="11" t="s">
        <v>286</v>
      </c>
      <c r="E21" s="490"/>
      <c r="F21" s="51" t="s">
        <v>44</v>
      </c>
      <c r="G21" s="51">
        <v>2020</v>
      </c>
      <c r="H21" s="305">
        <v>250</v>
      </c>
      <c r="I21" s="305">
        <v>250</v>
      </c>
      <c r="J21" s="305">
        <v>250</v>
      </c>
      <c r="K21" s="10">
        <f>(J21-N21-M21)*95%</f>
        <v>235.125</v>
      </c>
      <c r="L21" s="10">
        <f>(J21-N21-M21)*5%</f>
        <v>12.375</v>
      </c>
      <c r="M21" s="10">
        <f>(J21-N21-(H21-I21))*1%+(H21-I21)</f>
        <v>2.5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66">
      <c r="A22" s="51">
        <v>5</v>
      </c>
      <c r="B22" s="52" t="s">
        <v>167</v>
      </c>
      <c r="C22" s="8" t="s">
        <v>176</v>
      </c>
      <c r="D22" s="11" t="s">
        <v>199</v>
      </c>
      <c r="E22" s="490"/>
      <c r="F22" s="51" t="s">
        <v>44</v>
      </c>
      <c r="G22" s="51">
        <v>2020</v>
      </c>
      <c r="H22" s="53">
        <v>1876.8</v>
      </c>
      <c r="I22" s="53">
        <v>1876.8</v>
      </c>
      <c r="J22" s="53">
        <v>1876.8</v>
      </c>
      <c r="K22" s="10">
        <f>(J22-N22-M22)*95%</f>
        <v>1765.1303999999998</v>
      </c>
      <c r="L22" s="10">
        <f>(J22-N22-M22)*5%</f>
        <v>92.9016</v>
      </c>
      <c r="M22" s="10">
        <f>(J22-N22-(H22-I22))*1%+(H22-I22)</f>
        <v>18.768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39">
      <c r="A23" s="51">
        <v>6</v>
      </c>
      <c r="B23" s="52" t="s">
        <v>167</v>
      </c>
      <c r="C23" s="8" t="s">
        <v>200</v>
      </c>
      <c r="D23" s="11" t="s">
        <v>285</v>
      </c>
      <c r="E23" s="490"/>
      <c r="F23" s="51" t="s">
        <v>44</v>
      </c>
      <c r="G23" s="51">
        <v>2020</v>
      </c>
      <c r="H23" s="53">
        <v>1876.8</v>
      </c>
      <c r="I23" s="53">
        <v>1876.8</v>
      </c>
      <c r="J23" s="53">
        <v>1876.8</v>
      </c>
      <c r="K23" s="10">
        <f>(J23-N23-M23)*95%</f>
        <v>1765.1303999999998</v>
      </c>
      <c r="L23" s="10">
        <f>(J23-N23-M23)*5%</f>
        <v>92.9016</v>
      </c>
      <c r="M23" s="10">
        <f>(J23-N23-(H23-I23))*1%+(H23-I23)</f>
        <v>18.768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27.75" customHeight="1">
      <c r="A24" s="54"/>
      <c r="B24" s="55" t="s">
        <v>16</v>
      </c>
      <c r="C24" s="55" t="s">
        <v>16</v>
      </c>
      <c r="D24" s="101" t="s">
        <v>17</v>
      </c>
      <c r="E24" s="36"/>
      <c r="F24" s="171"/>
      <c r="G24" s="36"/>
      <c r="H24" s="19">
        <f>SUM(H20:H23)</f>
        <v>7003.6</v>
      </c>
      <c r="I24" s="19">
        <f aca="true" t="shared" si="2" ref="I24:N24">SUM(I20:I23)</f>
        <v>7003.6</v>
      </c>
      <c r="J24" s="19">
        <f t="shared" si="2"/>
        <v>7003.6</v>
      </c>
      <c r="K24" s="19">
        <f t="shared" si="2"/>
        <v>6586.8858</v>
      </c>
      <c r="L24" s="19">
        <f t="shared" si="2"/>
        <v>346.6782</v>
      </c>
      <c r="M24" s="19">
        <f t="shared" si="2"/>
        <v>70.036</v>
      </c>
      <c r="N24" s="19">
        <f t="shared" si="2"/>
        <v>0</v>
      </c>
      <c r="O24" s="19">
        <f aca="true" t="shared" si="3" ref="O24:X24">SUM(O20:O23)</f>
        <v>0</v>
      </c>
      <c r="P24" s="19">
        <f t="shared" si="3"/>
        <v>0</v>
      </c>
      <c r="Q24" s="19">
        <f t="shared" si="3"/>
        <v>0</v>
      </c>
      <c r="R24" s="19">
        <f t="shared" si="3"/>
        <v>0</v>
      </c>
      <c r="S24" s="19">
        <f t="shared" si="3"/>
        <v>0</v>
      </c>
      <c r="T24" s="19">
        <f t="shared" si="3"/>
        <v>0</v>
      </c>
      <c r="U24" s="19">
        <f t="shared" si="3"/>
        <v>0</v>
      </c>
      <c r="V24" s="19">
        <f t="shared" si="3"/>
        <v>0</v>
      </c>
      <c r="W24" s="19">
        <f t="shared" si="3"/>
        <v>0</v>
      </c>
      <c r="X24" s="19">
        <f t="shared" si="3"/>
        <v>0</v>
      </c>
    </row>
    <row r="25" spans="1:24" ht="18" customHeight="1">
      <c r="A25" s="442" t="s">
        <v>73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4"/>
    </row>
    <row r="26" spans="1:24" ht="132">
      <c r="A26" s="51">
        <v>7</v>
      </c>
      <c r="B26" s="52" t="s">
        <v>167</v>
      </c>
      <c r="C26" s="52" t="s">
        <v>176</v>
      </c>
      <c r="D26" s="52" t="s">
        <v>194</v>
      </c>
      <c r="E26" s="253" t="s">
        <v>225</v>
      </c>
      <c r="F26" s="51" t="s">
        <v>256</v>
      </c>
      <c r="G26" s="51">
        <v>2020</v>
      </c>
      <c r="H26" s="53">
        <v>5999.841</v>
      </c>
      <c r="I26" s="53">
        <v>5999.841</v>
      </c>
      <c r="J26" s="53">
        <v>5999.841</v>
      </c>
      <c r="K26" s="10">
        <f>(J26-N26-M26)*95%</f>
        <v>5642.8504605</v>
      </c>
      <c r="L26" s="10">
        <f>(J26-N26-M26)*5%</f>
        <v>296.99212950000003</v>
      </c>
      <c r="M26" s="10">
        <f>(J26-N26-(H26-I26))*1%+(H26-I26)</f>
        <v>59.99841000000001</v>
      </c>
      <c r="N26" s="53"/>
      <c r="O26" s="53"/>
      <c r="P26" s="10"/>
      <c r="Q26" s="10"/>
      <c r="R26" s="10"/>
      <c r="S26" s="53"/>
      <c r="T26" s="53"/>
      <c r="U26" s="10"/>
      <c r="V26" s="10"/>
      <c r="W26" s="10"/>
      <c r="X26" s="53"/>
    </row>
    <row r="27" spans="1:24" ht="27.75" customHeight="1">
      <c r="A27" s="54"/>
      <c r="B27" s="55" t="s">
        <v>16</v>
      </c>
      <c r="C27" s="55" t="s">
        <v>16</v>
      </c>
      <c r="D27" s="36" t="s">
        <v>17</v>
      </c>
      <c r="E27" s="36"/>
      <c r="F27" s="171"/>
      <c r="G27" s="36"/>
      <c r="H27" s="19">
        <f>SUM(H26:H26)</f>
        <v>5999.841</v>
      </c>
      <c r="I27" s="19">
        <f aca="true" t="shared" si="4" ref="I27:N27">SUM(I26:I26)</f>
        <v>5999.841</v>
      </c>
      <c r="J27" s="19">
        <f t="shared" si="4"/>
        <v>5999.841</v>
      </c>
      <c r="K27" s="19">
        <f t="shared" si="4"/>
        <v>5642.8504605</v>
      </c>
      <c r="L27" s="19">
        <f t="shared" si="4"/>
        <v>296.99212950000003</v>
      </c>
      <c r="M27" s="19">
        <f t="shared" si="4"/>
        <v>59.99841000000001</v>
      </c>
      <c r="N27" s="19">
        <f t="shared" si="4"/>
        <v>0</v>
      </c>
      <c r="O27" s="19">
        <f aca="true" t="shared" si="5" ref="O27:X27">SUM(O26:O26)</f>
        <v>0</v>
      </c>
      <c r="P27" s="19">
        <f t="shared" si="5"/>
        <v>0</v>
      </c>
      <c r="Q27" s="19">
        <f t="shared" si="5"/>
        <v>0</v>
      </c>
      <c r="R27" s="19">
        <f t="shared" si="5"/>
        <v>0</v>
      </c>
      <c r="S27" s="19">
        <f t="shared" si="5"/>
        <v>0</v>
      </c>
      <c r="T27" s="19">
        <f t="shared" si="5"/>
        <v>0</v>
      </c>
      <c r="U27" s="19">
        <f t="shared" si="5"/>
        <v>0</v>
      </c>
      <c r="V27" s="19">
        <f t="shared" si="5"/>
        <v>0</v>
      </c>
      <c r="W27" s="19">
        <f t="shared" si="5"/>
        <v>0</v>
      </c>
      <c r="X27" s="19">
        <f t="shared" si="5"/>
        <v>0</v>
      </c>
    </row>
    <row r="28" spans="1:24" ht="31.5" customHeight="1">
      <c r="A28" s="54"/>
      <c r="B28" s="55" t="s">
        <v>16</v>
      </c>
      <c r="C28" s="55" t="s">
        <v>16</v>
      </c>
      <c r="D28" s="36" t="s">
        <v>18</v>
      </c>
      <c r="E28" s="171" t="s">
        <v>16</v>
      </c>
      <c r="F28" s="171" t="s">
        <v>16</v>
      </c>
      <c r="G28" s="171" t="s">
        <v>16</v>
      </c>
      <c r="H28" s="19">
        <f>H18+H24+H27</f>
        <v>52009.166</v>
      </c>
      <c r="I28" s="19">
        <f aca="true" t="shared" si="6" ref="I28:N28">I18+I24+I27</f>
        <v>52009.166</v>
      </c>
      <c r="J28" s="19">
        <f t="shared" si="6"/>
        <v>52009.166</v>
      </c>
      <c r="K28" s="19">
        <f t="shared" si="6"/>
        <v>47899.364980499995</v>
      </c>
      <c r="L28" s="19">
        <f t="shared" si="6"/>
        <v>2521.0192094999998</v>
      </c>
      <c r="M28" s="19">
        <f t="shared" si="6"/>
        <v>509.29681000000005</v>
      </c>
      <c r="N28" s="19">
        <f t="shared" si="6"/>
        <v>1079.485</v>
      </c>
      <c r="O28" s="19">
        <f aca="true" t="shared" si="7" ref="O28:X28">O18+O24+O27</f>
        <v>0</v>
      </c>
      <c r="P28" s="19">
        <f t="shared" si="7"/>
        <v>0</v>
      </c>
      <c r="Q28" s="19">
        <f t="shared" si="7"/>
        <v>0</v>
      </c>
      <c r="R28" s="19">
        <f t="shared" si="7"/>
        <v>0</v>
      </c>
      <c r="S28" s="19">
        <f t="shared" si="7"/>
        <v>0</v>
      </c>
      <c r="T28" s="19">
        <f t="shared" si="7"/>
        <v>0</v>
      </c>
      <c r="U28" s="19">
        <f t="shared" si="7"/>
        <v>0</v>
      </c>
      <c r="V28" s="19">
        <f t="shared" si="7"/>
        <v>0</v>
      </c>
      <c r="W28" s="19">
        <f t="shared" si="7"/>
        <v>0</v>
      </c>
      <c r="X28" s="19">
        <f t="shared" si="7"/>
        <v>0</v>
      </c>
    </row>
    <row r="29" spans="1:24" ht="15.75" customHeight="1" hidden="1">
      <c r="A29" s="172"/>
      <c r="B29" s="172"/>
      <c r="C29" s="172"/>
      <c r="D29" s="172"/>
      <c r="E29" s="172"/>
      <c r="F29" s="55"/>
      <c r="G29" s="17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73"/>
      <c r="T29" s="173"/>
      <c r="U29" s="173"/>
      <c r="V29" s="173"/>
      <c r="W29" s="173"/>
      <c r="X29" s="173"/>
    </row>
    <row r="30" spans="1:18" ht="15.75" customHeight="1" hidden="1">
      <c r="A30" s="393" t="s">
        <v>43</v>
      </c>
      <c r="B30" s="368"/>
      <c r="C30" s="368"/>
      <c r="D30" s="174"/>
      <c r="E30" s="174"/>
      <c r="G30" s="17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24" ht="13.5" hidden="1">
      <c r="A31" s="372" t="s">
        <v>42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</row>
    <row r="32" spans="1:23" ht="13.5" hidden="1">
      <c r="A32" s="367" t="s">
        <v>41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</row>
    <row r="33" spans="1:23" ht="13.5" hidden="1">
      <c r="A33" s="367" t="s">
        <v>40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</row>
    <row r="34" spans="1:23" ht="13.5" hidden="1">
      <c r="A34" s="367" t="s">
        <v>39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</row>
    <row r="35" spans="1:23" ht="13.5" hidden="1">
      <c r="A35" s="367" t="s">
        <v>38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</row>
    <row r="36" spans="1:23" ht="13.5" hidden="1">
      <c r="A36" s="367" t="s">
        <v>37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</row>
    <row r="37" spans="1:23" ht="13.5" hidden="1">
      <c r="A37" s="367" t="s">
        <v>36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</row>
    <row r="38" spans="1:23" ht="24.75" customHeight="1" hidden="1">
      <c r="A38" s="367" t="s">
        <v>35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</row>
    <row r="39" spans="1:23" ht="25.5" customHeight="1" hidden="1">
      <c r="A39" s="367" t="s">
        <v>34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</row>
    <row r="40" spans="1:23" ht="13.5" hidden="1">
      <c r="A40" s="367" t="s">
        <v>33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</row>
    <row r="41" spans="1:23" ht="13.5" hidden="1">
      <c r="A41" s="367" t="s">
        <v>32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</row>
    <row r="42" spans="1:23" ht="13.5" hidden="1">
      <c r="A42" s="367" t="s">
        <v>31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</row>
    <row r="43" spans="1:23" ht="13.5" hidden="1">
      <c r="A43" s="367" t="s">
        <v>30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</row>
    <row r="44" spans="1:18" ht="15.75" customHeight="1">
      <c r="A44" s="175"/>
      <c r="B44" s="175"/>
      <c r="C44" s="175"/>
      <c r="D44" s="175"/>
      <c r="E44" s="175"/>
      <c r="G44" s="176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5.75" customHeight="1">
      <c r="A45" s="176"/>
      <c r="B45" s="176"/>
      <c r="C45" s="176"/>
      <c r="D45" s="176"/>
      <c r="E45" s="176"/>
      <c r="G45" s="176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ht="38.25" customHeight="1"/>
    <row r="47" spans="1:24" s="127" customFormat="1" ht="22.5" customHeight="1">
      <c r="A47" s="344" t="s">
        <v>29</v>
      </c>
      <c r="B47" s="345"/>
      <c r="C47" s="345"/>
      <c r="D47" s="345"/>
      <c r="E47" s="345"/>
      <c r="F47" s="345"/>
      <c r="G47" s="154"/>
      <c r="H47" s="24"/>
      <c r="I47" s="24"/>
      <c r="J47" s="24"/>
      <c r="K47" s="24"/>
      <c r="L47" s="24"/>
      <c r="M47" s="24"/>
      <c r="N47" s="346" t="s">
        <v>28</v>
      </c>
      <c r="O47" s="347"/>
      <c r="P47" s="347"/>
      <c r="Q47" s="126"/>
      <c r="R47" s="346"/>
      <c r="S47" s="347"/>
      <c r="T47" s="347"/>
      <c r="U47" s="24"/>
      <c r="V47" s="24"/>
      <c r="W47" s="24"/>
      <c r="X47" s="24"/>
    </row>
    <row r="48" spans="1:24" ht="71.25" customHeight="1">
      <c r="A48" s="128"/>
      <c r="B48" s="128"/>
      <c r="C48" s="128"/>
      <c r="D48" s="128"/>
      <c r="E48" s="128"/>
      <c r="F48" s="254"/>
      <c r="G48" s="130"/>
      <c r="H48" s="25"/>
      <c r="I48" s="25"/>
      <c r="J48" s="25"/>
      <c r="K48" s="25"/>
      <c r="L48" s="25"/>
      <c r="M48" s="25"/>
      <c r="N48" s="340"/>
      <c r="O48" s="341"/>
      <c r="P48" s="341"/>
      <c r="Q48" s="131"/>
      <c r="R48" s="340"/>
      <c r="S48" s="341"/>
      <c r="T48" s="341"/>
      <c r="U48" s="25"/>
      <c r="V48" s="25"/>
      <c r="W48" s="25"/>
      <c r="X48" s="25"/>
    </row>
    <row r="49" spans="1:24" ht="15.75" customHeight="1">
      <c r="A49" s="132" t="s">
        <v>19</v>
      </c>
      <c r="B49" s="133"/>
      <c r="C49" s="132"/>
      <c r="D49" s="132"/>
      <c r="E49" s="128"/>
      <c r="F49" s="254"/>
      <c r="G49" s="130"/>
      <c r="H49" s="25"/>
      <c r="I49" s="25"/>
      <c r="J49" s="25"/>
      <c r="K49" s="25"/>
      <c r="L49" s="25"/>
      <c r="M49" s="25"/>
      <c r="N49" s="131"/>
      <c r="O49" s="131"/>
      <c r="P49" s="131"/>
      <c r="Q49" s="131"/>
      <c r="R49" s="131"/>
      <c r="S49" s="25"/>
      <c r="T49" s="25"/>
      <c r="U49" s="25"/>
      <c r="V49" s="25"/>
      <c r="W49" s="25"/>
      <c r="X49" s="25"/>
    </row>
    <row r="50" spans="1:24" ht="20.25" customHeight="1">
      <c r="A50" s="132" t="s">
        <v>27</v>
      </c>
      <c r="B50" s="132"/>
      <c r="C50" s="132"/>
      <c r="D50" s="132"/>
      <c r="E50" s="128"/>
      <c r="F50" s="254"/>
      <c r="G50" s="130"/>
      <c r="H50" s="25"/>
      <c r="I50" s="25"/>
      <c r="J50" s="25"/>
      <c r="K50" s="25"/>
      <c r="L50" s="25"/>
      <c r="M50" s="25"/>
      <c r="N50" s="131"/>
      <c r="O50" s="131"/>
      <c r="P50" s="131"/>
      <c r="Q50" s="131"/>
      <c r="R50" s="131"/>
      <c r="S50" s="25"/>
      <c r="T50" s="25"/>
      <c r="U50" s="25"/>
      <c r="V50" s="25"/>
      <c r="W50" s="25"/>
      <c r="X50" s="25"/>
    </row>
    <row r="51" spans="1:24" ht="38.25" customHeight="1">
      <c r="A51" s="379"/>
      <c r="B51" s="380"/>
      <c r="C51" s="380"/>
      <c r="D51" s="380"/>
      <c r="E51" s="380"/>
      <c r="F51" s="380"/>
      <c r="G51" s="130"/>
      <c r="H51" s="25"/>
      <c r="I51" s="25"/>
      <c r="J51" s="25"/>
      <c r="K51" s="25"/>
      <c r="L51" s="25"/>
      <c r="M51" s="25"/>
      <c r="N51" s="340"/>
      <c r="O51" s="341"/>
      <c r="P51" s="341"/>
      <c r="Q51" s="25"/>
      <c r="R51" s="384"/>
      <c r="S51" s="341"/>
      <c r="T51" s="341"/>
      <c r="U51" s="25"/>
      <c r="V51" s="382"/>
      <c r="W51" s="341"/>
      <c r="X51" s="25"/>
    </row>
    <row r="52" spans="1:24" ht="15.75" customHeight="1">
      <c r="A52" s="130"/>
      <c r="B52" s="130"/>
      <c r="C52" s="130"/>
      <c r="D52" s="130"/>
      <c r="E52" s="130"/>
      <c r="F52" s="255"/>
      <c r="G52" s="130"/>
      <c r="H52" s="25"/>
      <c r="I52" s="25"/>
      <c r="J52" s="25"/>
      <c r="K52" s="25"/>
      <c r="L52" s="25"/>
      <c r="M52" s="25"/>
      <c r="N52" s="340"/>
      <c r="O52" s="341"/>
      <c r="P52" s="341"/>
      <c r="Q52" s="25"/>
      <c r="R52" s="340"/>
      <c r="S52" s="341"/>
      <c r="T52" s="341"/>
      <c r="U52" s="25"/>
      <c r="V52" s="381"/>
      <c r="W52" s="341"/>
      <c r="X52" s="2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58">
    <mergeCell ref="A7:X7"/>
    <mergeCell ref="A6:X6"/>
    <mergeCell ref="V51:W51"/>
    <mergeCell ref="N52:P52"/>
    <mergeCell ref="R52:T52"/>
    <mergeCell ref="V52:W52"/>
    <mergeCell ref="E20:E23"/>
    <mergeCell ref="A8:X8"/>
    <mergeCell ref="A47:F47"/>
    <mergeCell ref="N47:P47"/>
    <mergeCell ref="R47:T47"/>
    <mergeCell ref="N48:P48"/>
    <mergeCell ref="R48:T48"/>
    <mergeCell ref="A51:F51"/>
    <mergeCell ref="N51:P51"/>
    <mergeCell ref="R51:T51"/>
    <mergeCell ref="A38:W38"/>
    <mergeCell ref="A39:W39"/>
    <mergeCell ref="A40:W40"/>
    <mergeCell ref="A41:W41"/>
    <mergeCell ref="A42:W42"/>
    <mergeCell ref="A43:W43"/>
    <mergeCell ref="A32:W32"/>
    <mergeCell ref="A33:W33"/>
    <mergeCell ref="A34:W34"/>
    <mergeCell ref="A35:W35"/>
    <mergeCell ref="A36:W36"/>
    <mergeCell ref="A37:W37"/>
    <mergeCell ref="E16:E17"/>
    <mergeCell ref="A19:X19"/>
    <mergeCell ref="A25:X25"/>
    <mergeCell ref="A30:C30"/>
    <mergeCell ref="A31:X31"/>
    <mergeCell ref="K12:N12"/>
    <mergeCell ref="O12:O13"/>
    <mergeCell ref="P12:S12"/>
    <mergeCell ref="T12:T13"/>
    <mergeCell ref="U12:X12"/>
    <mergeCell ref="A15:X15"/>
    <mergeCell ref="G10:G13"/>
    <mergeCell ref="H10:H13"/>
    <mergeCell ref="I10:I13"/>
    <mergeCell ref="J10:N10"/>
    <mergeCell ref="O10:S10"/>
    <mergeCell ref="T10:X10"/>
    <mergeCell ref="J11:N11"/>
    <mergeCell ref="O11:S11"/>
    <mergeCell ref="T11:X11"/>
    <mergeCell ref="A1:X1"/>
    <mergeCell ref="J12:J13"/>
    <mergeCell ref="A10:A13"/>
    <mergeCell ref="B10:B13"/>
    <mergeCell ref="C10:C13"/>
    <mergeCell ref="D10:D13"/>
    <mergeCell ref="E10:E13"/>
    <mergeCell ref="F10:F13"/>
    <mergeCell ref="A4:X4"/>
    <mergeCell ref="A3:X3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8" r:id="rId1"/>
  <rowBreaks count="1" manualBreakCount="1">
    <brk id="24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SheetLayoutView="100" zoomScalePageLayoutView="0" workbookViewId="0" topLeftCell="A1">
      <selection activeCell="A26" sqref="A26"/>
    </sheetView>
  </sheetViews>
  <sheetFormatPr defaultColWidth="14.421875" defaultRowHeight="15" customHeight="1"/>
  <cols>
    <col min="1" max="1" width="5.8515625" style="26" customWidth="1"/>
    <col min="2" max="2" width="17.28125" style="26" customWidth="1"/>
    <col min="3" max="3" width="13.8515625" style="26" customWidth="1"/>
    <col min="4" max="4" width="23.00390625" style="26" customWidth="1"/>
    <col min="5" max="5" width="17.00390625" style="26" customWidth="1"/>
    <col min="6" max="6" width="16.7109375" style="26" customWidth="1"/>
    <col min="7" max="7" width="12.57421875" style="26" customWidth="1"/>
    <col min="8" max="8" width="11.8515625" style="23" customWidth="1"/>
    <col min="9" max="9" width="13.7109375" style="23" customWidth="1"/>
    <col min="10" max="10" width="9.7109375" style="23" customWidth="1"/>
    <col min="11" max="11" width="10.140625" style="23" customWidth="1"/>
    <col min="12" max="13" width="8.7109375" style="23" customWidth="1"/>
    <col min="14" max="14" width="9.140625" style="23" customWidth="1"/>
    <col min="15" max="17" width="8.7109375" style="23" customWidth="1"/>
    <col min="18" max="18" width="6.8515625" style="23" customWidth="1"/>
    <col min="19" max="19" width="4.28125" style="23" customWidth="1"/>
    <col min="20" max="23" width="8.7109375" style="23" customWidth="1"/>
    <col min="24" max="24" width="4.7109375" style="23" customWidth="1"/>
    <col min="25" max="16384" width="14.421875" style="26" customWidth="1"/>
  </cols>
  <sheetData>
    <row r="1" spans="1:24" ht="17.25">
      <c r="A1" s="383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2" spans="1:18" ht="17.25">
      <c r="A2" s="157"/>
      <c r="B2" s="157"/>
      <c r="C2" s="157"/>
      <c r="D2" s="157"/>
      <c r="E2" s="157"/>
      <c r="F2" s="157"/>
      <c r="G2" s="15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4" ht="17.25">
      <c r="A3" s="399" t="s">
        <v>143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3.5" customHeight="1">
      <c r="A4" s="401" t="s">
        <v>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</row>
    <row r="5" spans="1:18" ht="8.25" customHeight="1">
      <c r="A5" s="157"/>
      <c r="B5" s="157"/>
      <c r="C5" s="157"/>
      <c r="D5" s="158"/>
      <c r="E5" s="158"/>
      <c r="F5" s="158"/>
      <c r="G5" s="158"/>
      <c r="H5" s="16"/>
      <c r="I5" s="16"/>
      <c r="J5" s="16"/>
      <c r="K5" s="16"/>
      <c r="L5" s="16"/>
      <c r="M5" s="16"/>
      <c r="N5" s="15"/>
      <c r="O5" s="15"/>
      <c r="P5" s="15"/>
      <c r="Q5" s="15"/>
      <c r="R5" s="15"/>
    </row>
    <row r="6" spans="1:24" ht="17.25">
      <c r="A6" s="402" t="s">
        <v>62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</row>
    <row r="7" spans="1:24" ht="13.5">
      <c r="A7" s="340" t="s">
        <v>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4" ht="17.25">
      <c r="A8" s="403" t="s">
        <v>58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</row>
    <row r="9" ht="27" customHeight="1"/>
    <row r="10" spans="1:24" ht="37.5" customHeight="1">
      <c r="A10" s="375" t="s">
        <v>57</v>
      </c>
      <c r="B10" s="375" t="s">
        <v>56</v>
      </c>
      <c r="C10" s="375" t="s">
        <v>3</v>
      </c>
      <c r="D10" s="375" t="s">
        <v>55</v>
      </c>
      <c r="E10" s="375" t="s">
        <v>4</v>
      </c>
      <c r="F10" s="375" t="s">
        <v>54</v>
      </c>
      <c r="G10" s="375" t="s">
        <v>53</v>
      </c>
      <c r="H10" s="373" t="s">
        <v>52</v>
      </c>
      <c r="I10" s="373" t="s">
        <v>20</v>
      </c>
      <c r="J10" s="369" t="s">
        <v>5</v>
      </c>
      <c r="K10" s="370"/>
      <c r="L10" s="370"/>
      <c r="M10" s="370"/>
      <c r="N10" s="371"/>
      <c r="O10" s="369" t="s">
        <v>5</v>
      </c>
      <c r="P10" s="370"/>
      <c r="Q10" s="370"/>
      <c r="R10" s="370"/>
      <c r="S10" s="371"/>
      <c r="T10" s="369" t="s">
        <v>5</v>
      </c>
      <c r="U10" s="370"/>
      <c r="V10" s="370"/>
      <c r="W10" s="370"/>
      <c r="X10" s="371"/>
    </row>
    <row r="11" spans="1:24" ht="27.75" customHeight="1">
      <c r="A11" s="376"/>
      <c r="B11" s="376"/>
      <c r="C11" s="376"/>
      <c r="D11" s="376"/>
      <c r="E11" s="376"/>
      <c r="F11" s="376"/>
      <c r="G11" s="376"/>
      <c r="H11" s="378"/>
      <c r="I11" s="378"/>
      <c r="J11" s="369" t="s">
        <v>6</v>
      </c>
      <c r="K11" s="370"/>
      <c r="L11" s="370"/>
      <c r="M11" s="370"/>
      <c r="N11" s="371"/>
      <c r="O11" s="369" t="s">
        <v>7</v>
      </c>
      <c r="P11" s="370"/>
      <c r="Q11" s="370"/>
      <c r="R11" s="370"/>
      <c r="S11" s="371"/>
      <c r="T11" s="369" t="s">
        <v>51</v>
      </c>
      <c r="U11" s="370"/>
      <c r="V11" s="370"/>
      <c r="W11" s="370"/>
      <c r="X11" s="371"/>
    </row>
    <row r="12" spans="1:24" ht="30" customHeight="1">
      <c r="A12" s="376"/>
      <c r="B12" s="376"/>
      <c r="C12" s="376"/>
      <c r="D12" s="376"/>
      <c r="E12" s="376"/>
      <c r="F12" s="376"/>
      <c r="G12" s="376"/>
      <c r="H12" s="378"/>
      <c r="I12" s="378"/>
      <c r="J12" s="373" t="s">
        <v>8</v>
      </c>
      <c r="K12" s="369" t="s">
        <v>9</v>
      </c>
      <c r="L12" s="370"/>
      <c r="M12" s="370"/>
      <c r="N12" s="371"/>
      <c r="O12" s="373" t="s">
        <v>8</v>
      </c>
      <c r="P12" s="369" t="s">
        <v>9</v>
      </c>
      <c r="Q12" s="370"/>
      <c r="R12" s="370"/>
      <c r="S12" s="371"/>
      <c r="T12" s="373" t="s">
        <v>8</v>
      </c>
      <c r="U12" s="369" t="s">
        <v>10</v>
      </c>
      <c r="V12" s="370"/>
      <c r="W12" s="370"/>
      <c r="X12" s="371"/>
    </row>
    <row r="13" spans="1:24" ht="21" customHeight="1">
      <c r="A13" s="377"/>
      <c r="B13" s="377"/>
      <c r="C13" s="377"/>
      <c r="D13" s="377"/>
      <c r="E13" s="377"/>
      <c r="F13" s="377"/>
      <c r="G13" s="377"/>
      <c r="H13" s="374"/>
      <c r="I13" s="374"/>
      <c r="J13" s="374"/>
      <c r="K13" s="159" t="s">
        <v>50</v>
      </c>
      <c r="L13" s="159" t="s">
        <v>49</v>
      </c>
      <c r="M13" s="159" t="s">
        <v>48</v>
      </c>
      <c r="N13" s="159" t="s">
        <v>47</v>
      </c>
      <c r="O13" s="374"/>
      <c r="P13" s="159" t="s">
        <v>11</v>
      </c>
      <c r="Q13" s="159" t="s">
        <v>12</v>
      </c>
      <c r="R13" s="159" t="s">
        <v>13</v>
      </c>
      <c r="S13" s="159" t="s">
        <v>14</v>
      </c>
      <c r="T13" s="374"/>
      <c r="U13" s="159" t="s">
        <v>11</v>
      </c>
      <c r="V13" s="159" t="s">
        <v>12</v>
      </c>
      <c r="W13" s="159" t="s">
        <v>13</v>
      </c>
      <c r="X13" s="159" t="s">
        <v>14</v>
      </c>
    </row>
    <row r="14" spans="1:24" ht="13.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</row>
    <row r="15" spans="1:24" ht="13.5">
      <c r="A15" s="404" t="s">
        <v>63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6"/>
    </row>
    <row r="16" spans="1:24" ht="77.25" customHeight="1">
      <c r="A16" s="155">
        <v>1</v>
      </c>
      <c r="B16" s="6" t="s">
        <v>167</v>
      </c>
      <c r="C16" s="6" t="s">
        <v>183</v>
      </c>
      <c r="D16" s="11" t="s">
        <v>184</v>
      </c>
      <c r="E16" s="398" t="s">
        <v>144</v>
      </c>
      <c r="F16" s="288" t="s">
        <v>280</v>
      </c>
      <c r="G16" s="155">
        <v>2020</v>
      </c>
      <c r="H16" s="9">
        <v>474.888</v>
      </c>
      <c r="I16" s="9">
        <v>474.888</v>
      </c>
      <c r="J16" s="9">
        <v>474.888</v>
      </c>
      <c r="K16" s="10">
        <f>(J16-N16-M16)*95%</f>
        <v>446.632164</v>
      </c>
      <c r="L16" s="10">
        <f>(J16-N16-M16)*5%</f>
        <v>23.506956000000002</v>
      </c>
      <c r="M16" s="10">
        <f>(J16-N16-(H16-I16))*1%+(H16-I16)</f>
        <v>4.74888</v>
      </c>
      <c r="N16" s="9"/>
      <c r="O16" s="9"/>
      <c r="P16" s="10"/>
      <c r="Q16" s="10"/>
      <c r="R16" s="10"/>
      <c r="S16" s="9"/>
      <c r="T16" s="9"/>
      <c r="U16" s="9"/>
      <c r="V16" s="9"/>
      <c r="W16" s="9"/>
      <c r="X16" s="9"/>
    </row>
    <row r="17" spans="1:24" s="78" customFormat="1" ht="60.75" customHeight="1">
      <c r="A17" s="155">
        <v>2</v>
      </c>
      <c r="B17" s="6" t="s">
        <v>167</v>
      </c>
      <c r="C17" s="6" t="s">
        <v>183</v>
      </c>
      <c r="D17" s="73" t="s">
        <v>258</v>
      </c>
      <c r="E17" s="398"/>
      <c r="F17" s="74" t="s">
        <v>44</v>
      </c>
      <c r="G17" s="155">
        <v>2020</v>
      </c>
      <c r="H17" s="9">
        <v>1600</v>
      </c>
      <c r="I17" s="9">
        <v>1600</v>
      </c>
      <c r="J17" s="9">
        <v>1600</v>
      </c>
      <c r="K17" s="10">
        <f>(J17-N17-M17)*95%</f>
        <v>1504.8</v>
      </c>
      <c r="L17" s="10">
        <f>(J17-N17-M17)*5%</f>
        <v>79.2</v>
      </c>
      <c r="M17" s="10">
        <f>(J17-N17-(H17-I17))*1%+(H17-I17)</f>
        <v>16</v>
      </c>
      <c r="N17" s="9"/>
      <c r="O17" s="9"/>
      <c r="P17" s="10"/>
      <c r="Q17" s="10"/>
      <c r="R17" s="10"/>
      <c r="S17" s="9"/>
      <c r="T17" s="9"/>
      <c r="U17" s="10"/>
      <c r="V17" s="10"/>
      <c r="W17" s="10"/>
      <c r="X17" s="9"/>
    </row>
    <row r="18" spans="1:24" ht="31.5" customHeight="1">
      <c r="A18" s="163"/>
      <c r="B18" s="164" t="s">
        <v>16</v>
      </c>
      <c r="C18" s="164" t="s">
        <v>16</v>
      </c>
      <c r="D18" s="101" t="s">
        <v>17</v>
      </c>
      <c r="E18" s="165" t="s">
        <v>16</v>
      </c>
      <c r="F18" s="165" t="s">
        <v>16</v>
      </c>
      <c r="G18" s="165" t="s">
        <v>16</v>
      </c>
      <c r="H18" s="18">
        <f aca="true" t="shared" si="0" ref="H18:X18">SUM(H16:H17)</f>
        <v>2074.888</v>
      </c>
      <c r="I18" s="18">
        <f t="shared" si="0"/>
        <v>2074.888</v>
      </c>
      <c r="J18" s="18">
        <f t="shared" si="0"/>
        <v>2074.888</v>
      </c>
      <c r="K18" s="18">
        <f t="shared" si="0"/>
        <v>1951.4321639999998</v>
      </c>
      <c r="L18" s="18">
        <f t="shared" si="0"/>
        <v>102.706956</v>
      </c>
      <c r="M18" s="18">
        <f t="shared" si="0"/>
        <v>20.74888</v>
      </c>
      <c r="N18" s="18">
        <f t="shared" si="0"/>
        <v>0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0</v>
      </c>
      <c r="T18" s="18">
        <f t="shared" si="0"/>
        <v>0</v>
      </c>
      <c r="U18" s="18">
        <f t="shared" si="0"/>
        <v>0</v>
      </c>
      <c r="V18" s="18">
        <f t="shared" si="0"/>
        <v>0</v>
      </c>
      <c r="W18" s="18">
        <f t="shared" si="0"/>
        <v>0</v>
      </c>
      <c r="X18" s="18">
        <f t="shared" si="0"/>
        <v>0</v>
      </c>
    </row>
    <row r="19" spans="1:24" ht="15.75" customHeight="1">
      <c r="A19" s="389" t="s">
        <v>65</v>
      </c>
      <c r="B19" s="390"/>
      <c r="C19" s="390"/>
      <c r="D19" s="391"/>
      <c r="E19" s="391"/>
      <c r="F19" s="390"/>
      <c r="G19" s="390"/>
      <c r="H19" s="488"/>
      <c r="I19" s="488"/>
      <c r="J19" s="488"/>
      <c r="K19" s="488"/>
      <c r="L19" s="488"/>
      <c r="M19" s="488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2"/>
    </row>
    <row r="20" spans="1:24" s="78" customFormat="1" ht="39">
      <c r="A20" s="155">
        <v>3</v>
      </c>
      <c r="B20" s="6" t="s">
        <v>167</v>
      </c>
      <c r="C20" s="6" t="s">
        <v>183</v>
      </c>
      <c r="D20" s="73" t="s">
        <v>257</v>
      </c>
      <c r="E20" s="495"/>
      <c r="F20" s="74" t="s">
        <v>44</v>
      </c>
      <c r="G20" s="155">
        <v>2020</v>
      </c>
      <c r="H20" s="9">
        <v>2151</v>
      </c>
      <c r="I20" s="9">
        <v>2151</v>
      </c>
      <c r="J20" s="9">
        <v>2151</v>
      </c>
      <c r="K20" s="10">
        <f>(J20-N20-M20)*95%</f>
        <v>2023.0154999999997</v>
      </c>
      <c r="L20" s="10">
        <f>(J20-N20-M20)*5%</f>
        <v>106.47449999999999</v>
      </c>
      <c r="M20" s="10">
        <f>(J20-N20-(H20-I20))*1%+(H20-I20)</f>
        <v>21.51</v>
      </c>
      <c r="N20" s="9"/>
      <c r="O20" s="9"/>
      <c r="P20" s="10"/>
      <c r="Q20" s="10"/>
      <c r="R20" s="10"/>
      <c r="S20" s="9"/>
      <c r="T20" s="9"/>
      <c r="U20" s="10"/>
      <c r="V20" s="10"/>
      <c r="W20" s="10"/>
      <c r="X20" s="9"/>
    </row>
    <row r="21" spans="1:24" ht="52.5">
      <c r="A21" s="155">
        <v>4</v>
      </c>
      <c r="B21" s="6" t="s">
        <v>167</v>
      </c>
      <c r="C21" s="52" t="s">
        <v>183</v>
      </c>
      <c r="D21" s="8" t="s">
        <v>286</v>
      </c>
      <c r="E21" s="496"/>
      <c r="F21" s="100" t="s">
        <v>44</v>
      </c>
      <c r="G21" s="51">
        <v>2020</v>
      </c>
      <c r="H21" s="53">
        <v>250</v>
      </c>
      <c r="I21" s="53">
        <v>250</v>
      </c>
      <c r="J21" s="53">
        <v>250</v>
      </c>
      <c r="K21" s="10">
        <f>(J21-N21-M21)*95%</f>
        <v>235.125</v>
      </c>
      <c r="L21" s="10">
        <f>(J21-N21-M21)*5%</f>
        <v>12.375</v>
      </c>
      <c r="M21" s="10">
        <f>(J21-N21-(H21-I21))*1%+(H21-I21)</f>
        <v>2.5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52.5">
      <c r="A22" s="51">
        <v>5</v>
      </c>
      <c r="B22" s="6" t="s">
        <v>167</v>
      </c>
      <c r="C22" s="52" t="s">
        <v>183</v>
      </c>
      <c r="D22" s="99" t="s">
        <v>219</v>
      </c>
      <c r="E22" s="496"/>
      <c r="F22" s="100" t="s">
        <v>44</v>
      </c>
      <c r="G22" s="51">
        <v>2020</v>
      </c>
      <c r="H22" s="53">
        <v>1876.8</v>
      </c>
      <c r="I22" s="53">
        <v>1876.8</v>
      </c>
      <c r="J22" s="53">
        <v>1876.8</v>
      </c>
      <c r="K22" s="10">
        <f>(J22-N22-M22)*95%</f>
        <v>1765.1303999999998</v>
      </c>
      <c r="L22" s="10">
        <f>(J22-N22-M22)*5%</f>
        <v>92.9016</v>
      </c>
      <c r="M22" s="10">
        <f>(J22-N22-(H22-I22))*1%+(H22-I22)</f>
        <v>18.768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66">
      <c r="A23" s="155">
        <v>6</v>
      </c>
      <c r="B23" s="6" t="s">
        <v>167</v>
      </c>
      <c r="C23" s="52" t="s">
        <v>183</v>
      </c>
      <c r="D23" s="99" t="s">
        <v>220</v>
      </c>
      <c r="E23" s="497"/>
      <c r="F23" s="100" t="s">
        <v>44</v>
      </c>
      <c r="G23" s="51">
        <v>2020</v>
      </c>
      <c r="H23" s="53">
        <v>500</v>
      </c>
      <c r="I23" s="53">
        <v>500</v>
      </c>
      <c r="J23" s="97">
        <v>500</v>
      </c>
      <c r="K23" s="10">
        <v>0</v>
      </c>
      <c r="L23" s="10">
        <v>0</v>
      </c>
      <c r="M23" s="10">
        <v>0</v>
      </c>
      <c r="N23" s="98">
        <v>500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21.75" customHeight="1">
      <c r="A24" s="54"/>
      <c r="B24" s="55" t="s">
        <v>16</v>
      </c>
      <c r="C24" s="55" t="s">
        <v>16</v>
      </c>
      <c r="D24" s="36" t="s">
        <v>17</v>
      </c>
      <c r="E24" s="101"/>
      <c r="F24" s="36"/>
      <c r="G24" s="36"/>
      <c r="H24" s="19">
        <f>SUM(H20:H23)</f>
        <v>4777.8</v>
      </c>
      <c r="I24" s="19">
        <f aca="true" t="shared" si="1" ref="I24:X24">SUM(I20:I23)</f>
        <v>4777.8</v>
      </c>
      <c r="J24" s="19">
        <f t="shared" si="1"/>
        <v>4777.8</v>
      </c>
      <c r="K24" s="19">
        <f t="shared" si="1"/>
        <v>4023.2708999999995</v>
      </c>
      <c r="L24" s="19">
        <f t="shared" si="1"/>
        <v>211.7511</v>
      </c>
      <c r="M24" s="19">
        <f t="shared" si="1"/>
        <v>42.778000000000006</v>
      </c>
      <c r="N24" s="19">
        <f t="shared" si="1"/>
        <v>500</v>
      </c>
      <c r="O24" s="19">
        <f t="shared" si="1"/>
        <v>0</v>
      </c>
      <c r="P24" s="19">
        <f t="shared" si="1"/>
        <v>0</v>
      </c>
      <c r="Q24" s="19">
        <f t="shared" si="1"/>
        <v>0</v>
      </c>
      <c r="R24" s="19">
        <f t="shared" si="1"/>
        <v>0</v>
      </c>
      <c r="S24" s="19">
        <f t="shared" si="1"/>
        <v>0</v>
      </c>
      <c r="T24" s="19">
        <f t="shared" si="1"/>
        <v>0</v>
      </c>
      <c r="U24" s="19">
        <f t="shared" si="1"/>
        <v>0</v>
      </c>
      <c r="V24" s="19">
        <f t="shared" si="1"/>
        <v>0</v>
      </c>
      <c r="W24" s="19">
        <f t="shared" si="1"/>
        <v>0</v>
      </c>
      <c r="X24" s="19">
        <f t="shared" si="1"/>
        <v>0</v>
      </c>
    </row>
    <row r="25" spans="1:24" s="50" customFormat="1" ht="21" customHeight="1">
      <c r="A25" s="492" t="s">
        <v>230</v>
      </c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4"/>
    </row>
    <row r="26" spans="1:24" s="50" customFormat="1" ht="65.25" customHeight="1">
      <c r="A26" s="47">
        <v>7</v>
      </c>
      <c r="B26" s="48" t="s">
        <v>167</v>
      </c>
      <c r="C26" s="48" t="s">
        <v>183</v>
      </c>
      <c r="D26" s="134" t="s">
        <v>231</v>
      </c>
      <c r="E26" s="47"/>
      <c r="F26" s="47" t="s">
        <v>234</v>
      </c>
      <c r="G26" s="47">
        <v>2020</v>
      </c>
      <c r="H26" s="31">
        <v>2570</v>
      </c>
      <c r="I26" s="31">
        <v>2570</v>
      </c>
      <c r="J26" s="31">
        <v>2570</v>
      </c>
      <c r="K26" s="10">
        <f>(J26-N26-M26)*95%</f>
        <v>2417.085</v>
      </c>
      <c r="L26" s="10">
        <f>(J26-N26-M26)*5%</f>
        <v>127.21500000000002</v>
      </c>
      <c r="M26" s="10">
        <f>(J26-N26-(H26-I26))*1%+(H26-I26)</f>
        <v>25.7</v>
      </c>
      <c r="N26" s="33"/>
      <c r="O26" s="32"/>
      <c r="P26" s="10"/>
      <c r="Q26" s="10"/>
      <c r="R26" s="10"/>
      <c r="S26" s="49"/>
      <c r="T26" s="34"/>
      <c r="U26" s="34"/>
      <c r="V26" s="34"/>
      <c r="W26" s="34"/>
      <c r="X26" s="49"/>
    </row>
    <row r="27" spans="1:24" s="50" customFormat="1" ht="24" customHeight="1">
      <c r="A27" s="47"/>
      <c r="B27" s="256"/>
      <c r="C27" s="256"/>
      <c r="D27" s="257" t="s">
        <v>17</v>
      </c>
      <c r="E27" s="258"/>
      <c r="F27" s="259"/>
      <c r="G27" s="258"/>
      <c r="H27" s="260">
        <f aca="true" t="shared" si="2" ref="H27:M27">H26</f>
        <v>2570</v>
      </c>
      <c r="I27" s="260">
        <f t="shared" si="2"/>
        <v>2570</v>
      </c>
      <c r="J27" s="260">
        <f t="shared" si="2"/>
        <v>2570</v>
      </c>
      <c r="K27" s="260">
        <f t="shared" si="2"/>
        <v>2417.085</v>
      </c>
      <c r="L27" s="260">
        <f t="shared" si="2"/>
        <v>127.21500000000002</v>
      </c>
      <c r="M27" s="260">
        <f t="shared" si="2"/>
        <v>25.7</v>
      </c>
      <c r="N27" s="261"/>
      <c r="O27" s="260"/>
      <c r="P27" s="260"/>
      <c r="Q27" s="260"/>
      <c r="R27" s="260"/>
      <c r="S27" s="261"/>
      <c r="T27" s="260"/>
      <c r="U27" s="260"/>
      <c r="V27" s="260"/>
      <c r="W27" s="260"/>
      <c r="X27" s="261"/>
    </row>
    <row r="28" spans="1:24" ht="21" customHeight="1">
      <c r="A28" s="54"/>
      <c r="B28" s="55" t="s">
        <v>16</v>
      </c>
      <c r="C28" s="55" t="s">
        <v>16</v>
      </c>
      <c r="D28" s="36" t="s">
        <v>18</v>
      </c>
      <c r="E28" s="171" t="s">
        <v>16</v>
      </c>
      <c r="F28" s="171" t="s">
        <v>16</v>
      </c>
      <c r="G28" s="171" t="s">
        <v>16</v>
      </c>
      <c r="H28" s="19">
        <f aca="true" t="shared" si="3" ref="H28:N28">H18+H24+H27</f>
        <v>9422.688</v>
      </c>
      <c r="I28" s="19">
        <f t="shared" si="3"/>
        <v>9422.688</v>
      </c>
      <c r="J28" s="19">
        <f t="shared" si="3"/>
        <v>9422.688</v>
      </c>
      <c r="K28" s="19">
        <f t="shared" si="3"/>
        <v>8391.788064</v>
      </c>
      <c r="L28" s="19">
        <f t="shared" si="3"/>
        <v>441.67305600000003</v>
      </c>
      <c r="M28" s="19">
        <f t="shared" si="3"/>
        <v>89.22688000000001</v>
      </c>
      <c r="N28" s="19">
        <f t="shared" si="3"/>
        <v>500</v>
      </c>
      <c r="O28" s="19">
        <f aca="true" t="shared" si="4" ref="O28:X28">O18+O24</f>
        <v>0</v>
      </c>
      <c r="P28" s="19">
        <f t="shared" si="4"/>
        <v>0</v>
      </c>
      <c r="Q28" s="19">
        <f t="shared" si="4"/>
        <v>0</v>
      </c>
      <c r="R28" s="19">
        <f t="shared" si="4"/>
        <v>0</v>
      </c>
      <c r="S28" s="19">
        <f t="shared" si="4"/>
        <v>0</v>
      </c>
      <c r="T28" s="19">
        <f t="shared" si="4"/>
        <v>0</v>
      </c>
      <c r="U28" s="19">
        <f t="shared" si="4"/>
        <v>0</v>
      </c>
      <c r="V28" s="19">
        <f t="shared" si="4"/>
        <v>0</v>
      </c>
      <c r="W28" s="19">
        <f t="shared" si="4"/>
        <v>0</v>
      </c>
      <c r="X28" s="19">
        <f t="shared" si="4"/>
        <v>0</v>
      </c>
    </row>
    <row r="29" spans="1:18" ht="15.75" customHeight="1" hidden="1">
      <c r="A29" s="393" t="s">
        <v>43</v>
      </c>
      <c r="B29" s="368"/>
      <c r="C29" s="368"/>
      <c r="D29" s="174"/>
      <c r="E29" s="174"/>
      <c r="F29" s="174"/>
      <c r="G29" s="17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24" ht="13.5" hidden="1">
      <c r="A30" s="372" t="s">
        <v>42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</row>
    <row r="31" spans="1:23" ht="13.5" hidden="1">
      <c r="A31" s="367" t="s">
        <v>41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</row>
    <row r="32" spans="1:23" ht="13.5" hidden="1">
      <c r="A32" s="367" t="s">
        <v>40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</row>
    <row r="33" spans="1:23" ht="13.5" hidden="1">
      <c r="A33" s="367" t="s">
        <v>39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</row>
    <row r="34" spans="1:23" ht="13.5" hidden="1">
      <c r="A34" s="367" t="s">
        <v>38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</row>
    <row r="35" spans="1:23" ht="13.5" hidden="1">
      <c r="A35" s="367" t="s">
        <v>37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</row>
    <row r="36" spans="1:23" ht="13.5" hidden="1">
      <c r="A36" s="367" t="s">
        <v>36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</row>
    <row r="37" spans="1:23" ht="24.75" customHeight="1" hidden="1">
      <c r="A37" s="367" t="s">
        <v>35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</row>
    <row r="38" spans="1:23" ht="25.5" customHeight="1" hidden="1">
      <c r="A38" s="367" t="s">
        <v>34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</row>
    <row r="39" spans="1:23" ht="13.5" hidden="1">
      <c r="A39" s="367" t="s">
        <v>33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</row>
    <row r="40" spans="1:23" ht="13.5" hidden="1">
      <c r="A40" s="367" t="s">
        <v>32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</row>
    <row r="41" spans="1:23" ht="13.5" hidden="1">
      <c r="A41" s="367" t="s">
        <v>31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</row>
    <row r="42" spans="1:23" ht="13.5" hidden="1">
      <c r="A42" s="367" t="s">
        <v>30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</row>
    <row r="43" ht="11.25" customHeight="1"/>
    <row r="44" spans="1:24" s="127" customFormat="1" ht="156" customHeight="1">
      <c r="A44" s="344" t="s">
        <v>29</v>
      </c>
      <c r="B44" s="345"/>
      <c r="C44" s="345"/>
      <c r="D44" s="345"/>
      <c r="E44" s="345"/>
      <c r="F44" s="345"/>
      <c r="G44" s="154"/>
      <c r="H44" s="24"/>
      <c r="I44" s="24"/>
      <c r="J44" s="24"/>
      <c r="K44" s="24"/>
      <c r="L44" s="24"/>
      <c r="M44" s="24"/>
      <c r="N44" s="346" t="s">
        <v>28</v>
      </c>
      <c r="O44" s="347"/>
      <c r="P44" s="347"/>
      <c r="Q44" s="126"/>
      <c r="R44" s="346"/>
      <c r="S44" s="347"/>
      <c r="T44" s="347"/>
      <c r="U44" s="24"/>
      <c r="V44" s="24"/>
      <c r="W44" s="24"/>
      <c r="X44" s="24"/>
    </row>
    <row r="45" spans="1:24" ht="63" customHeight="1">
      <c r="A45" s="128"/>
      <c r="B45" s="128"/>
      <c r="C45" s="128"/>
      <c r="D45" s="128"/>
      <c r="E45" s="128"/>
      <c r="F45" s="128"/>
      <c r="G45" s="130"/>
      <c r="H45" s="25"/>
      <c r="I45" s="25"/>
      <c r="J45" s="25"/>
      <c r="K45" s="25"/>
      <c r="L45" s="25"/>
      <c r="M45" s="25"/>
      <c r="N45" s="340"/>
      <c r="O45" s="341"/>
      <c r="P45" s="341"/>
      <c r="Q45" s="131"/>
      <c r="R45" s="340"/>
      <c r="S45" s="341"/>
      <c r="T45" s="341"/>
      <c r="U45" s="25"/>
      <c r="V45" s="25"/>
      <c r="W45" s="25"/>
      <c r="X45" s="25"/>
    </row>
    <row r="46" spans="1:24" ht="16.5" customHeight="1">
      <c r="A46" s="132" t="s">
        <v>19</v>
      </c>
      <c r="B46" s="133"/>
      <c r="C46" s="132"/>
      <c r="D46" s="132"/>
      <c r="E46" s="128"/>
      <c r="F46" s="128"/>
      <c r="G46" s="130"/>
      <c r="H46" s="25"/>
      <c r="I46" s="25"/>
      <c r="J46" s="25"/>
      <c r="K46" s="25"/>
      <c r="L46" s="25"/>
      <c r="M46" s="25"/>
      <c r="N46" s="131"/>
      <c r="O46" s="131"/>
      <c r="P46" s="131"/>
      <c r="Q46" s="131"/>
      <c r="R46" s="131"/>
      <c r="S46" s="25"/>
      <c r="T46" s="25"/>
      <c r="U46" s="25"/>
      <c r="V46" s="25"/>
      <c r="W46" s="25"/>
      <c r="X46" s="25"/>
    </row>
    <row r="47" spans="1:24" ht="16.5" customHeight="1">
      <c r="A47" s="132" t="s">
        <v>27</v>
      </c>
      <c r="B47" s="132"/>
      <c r="C47" s="132"/>
      <c r="D47" s="132"/>
      <c r="E47" s="128"/>
      <c r="F47" s="128"/>
      <c r="G47" s="130"/>
      <c r="H47" s="25"/>
      <c r="I47" s="25"/>
      <c r="J47" s="25"/>
      <c r="K47" s="25"/>
      <c r="L47" s="25"/>
      <c r="M47" s="25"/>
      <c r="N47" s="131"/>
      <c r="O47" s="131"/>
      <c r="P47" s="131"/>
      <c r="Q47" s="131"/>
      <c r="R47" s="131"/>
      <c r="S47" s="25"/>
      <c r="T47" s="25"/>
      <c r="U47" s="25"/>
      <c r="V47" s="25"/>
      <c r="W47" s="25"/>
      <c r="X47" s="25"/>
    </row>
    <row r="48" spans="1:24" ht="38.25" customHeight="1">
      <c r="A48" s="379"/>
      <c r="B48" s="380"/>
      <c r="C48" s="380"/>
      <c r="D48" s="380"/>
      <c r="E48" s="380"/>
      <c r="F48" s="380"/>
      <c r="G48" s="130"/>
      <c r="H48" s="25"/>
      <c r="I48" s="25"/>
      <c r="J48" s="25"/>
      <c r="K48" s="25"/>
      <c r="L48" s="25"/>
      <c r="M48" s="25"/>
      <c r="N48" s="340"/>
      <c r="O48" s="341"/>
      <c r="P48" s="341"/>
      <c r="Q48" s="25"/>
      <c r="R48" s="384"/>
      <c r="S48" s="341"/>
      <c r="T48" s="341"/>
      <c r="U48" s="25"/>
      <c r="V48" s="382"/>
      <c r="W48" s="341"/>
      <c r="X48" s="25"/>
    </row>
    <row r="49" spans="1:24" ht="15.75" customHeight="1">
      <c r="A49" s="130"/>
      <c r="B49" s="130"/>
      <c r="C49" s="130"/>
      <c r="D49" s="130"/>
      <c r="E49" s="130"/>
      <c r="F49" s="130"/>
      <c r="G49" s="130"/>
      <c r="H49" s="25"/>
      <c r="I49" s="25"/>
      <c r="J49" s="25"/>
      <c r="K49" s="25"/>
      <c r="L49" s="25"/>
      <c r="M49" s="25"/>
      <c r="N49" s="340"/>
      <c r="O49" s="341"/>
      <c r="P49" s="341"/>
      <c r="Q49" s="25"/>
      <c r="R49" s="340"/>
      <c r="S49" s="341"/>
      <c r="T49" s="341"/>
      <c r="U49" s="25"/>
      <c r="V49" s="381"/>
      <c r="W49" s="341"/>
      <c r="X49" s="25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8:24" ht="15.75" customHeight="1"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8:24" ht="15.75" customHeight="1"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8:24" ht="15.75" customHeight="1"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8:24" ht="15.75" customHeight="1"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8:24" ht="15.75" customHeight="1"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8:24" ht="15.75" customHeight="1"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8:24" ht="15.75" customHeight="1"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8:24" ht="15.75" customHeight="1"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8:24" ht="15.75" customHeight="1"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8:24" ht="15.75" customHeight="1"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8:24" ht="15.75" customHeight="1"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8:24" ht="15.75" customHeight="1"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8:24" ht="15.75" customHeight="1"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8:24" ht="15.75" customHeight="1"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8:24" ht="15.75" customHeight="1"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8:24" ht="15.75" customHeight="1"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8:24" ht="15.75" customHeight="1"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8:24" ht="15.75" customHeight="1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8:24" ht="15.75" customHeight="1"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8:24" ht="15.75" customHeight="1"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8:24" ht="15.75" customHeight="1"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8:24" ht="15.75" customHeight="1"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8:24" ht="15.75" customHeight="1"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8:24" ht="15.75" customHeight="1"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8:24" ht="15.75" customHeight="1"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8:24" ht="15.75" customHeight="1"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8:24" ht="15.75" customHeight="1"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8:24" ht="15.75" customHeight="1"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8:24" ht="15.75" customHeight="1"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8:24" ht="15.75" customHeight="1"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8:24" ht="15.75" customHeight="1"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8:24" ht="15.75" customHeight="1"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8:24" ht="15.75" customHeight="1"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8:24" ht="15.75" customHeight="1"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8:24" ht="15.75" customHeight="1"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8:24" ht="15.75" customHeight="1"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8:24" ht="15.75" customHeight="1"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8:24" ht="15.75" customHeight="1"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8:24" ht="15.75" customHeight="1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8:24" ht="15.75" customHeight="1"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8:24" ht="15.75" customHeight="1"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8:24" ht="15.75" customHeight="1"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</sheetData>
  <sheetProtection/>
  <mergeCells count="58">
    <mergeCell ref="E16:E17"/>
    <mergeCell ref="E20:E23"/>
    <mergeCell ref="A1:X1"/>
    <mergeCell ref="A3:X3"/>
    <mergeCell ref="A4:X4"/>
    <mergeCell ref="A6:X6"/>
    <mergeCell ref="A7:X7"/>
    <mergeCell ref="A8:X8"/>
    <mergeCell ref="A10:A13"/>
    <mergeCell ref="B10:B13"/>
    <mergeCell ref="C10:C13"/>
    <mergeCell ref="D10:D13"/>
    <mergeCell ref="E10:E13"/>
    <mergeCell ref="F10:F13"/>
    <mergeCell ref="H10:H13"/>
    <mergeCell ref="I10:I13"/>
    <mergeCell ref="J10:N10"/>
    <mergeCell ref="O10:S10"/>
    <mergeCell ref="T10:X10"/>
    <mergeCell ref="J11:N11"/>
    <mergeCell ref="O11:S11"/>
    <mergeCell ref="T11:X11"/>
    <mergeCell ref="J12:J13"/>
    <mergeCell ref="A19:X19"/>
    <mergeCell ref="A29:C29"/>
    <mergeCell ref="K12:N12"/>
    <mergeCell ref="O12:O13"/>
    <mergeCell ref="P12:S12"/>
    <mergeCell ref="T12:T13"/>
    <mergeCell ref="U12:X12"/>
    <mergeCell ref="A15:X15"/>
    <mergeCell ref="G10:G13"/>
    <mergeCell ref="A30:X30"/>
    <mergeCell ref="A31:W31"/>
    <mergeCell ref="A32:W32"/>
    <mergeCell ref="A33:W33"/>
    <mergeCell ref="A34:W34"/>
    <mergeCell ref="A35:W35"/>
    <mergeCell ref="N44:P44"/>
    <mergeCell ref="R44:T44"/>
    <mergeCell ref="N45:P45"/>
    <mergeCell ref="R45:T45"/>
    <mergeCell ref="A36:W36"/>
    <mergeCell ref="A37:W37"/>
    <mergeCell ref="A38:W38"/>
    <mergeCell ref="A39:W39"/>
    <mergeCell ref="A40:W40"/>
    <mergeCell ref="A41:W41"/>
    <mergeCell ref="A25:X25"/>
    <mergeCell ref="A48:F48"/>
    <mergeCell ref="N48:P48"/>
    <mergeCell ref="R48:T48"/>
    <mergeCell ref="V48:W48"/>
    <mergeCell ref="N49:P49"/>
    <mergeCell ref="R49:T49"/>
    <mergeCell ref="V49:W49"/>
    <mergeCell ref="A42:W42"/>
    <mergeCell ref="A44:F4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  <rowBreaks count="1" manualBreakCount="1">
    <brk id="24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90" zoomScaleSheetLayoutView="90" zoomScalePageLayoutView="0" workbookViewId="0" topLeftCell="B3">
      <selection activeCell="B20" sqref="B20:M20"/>
    </sheetView>
  </sheetViews>
  <sheetFormatPr defaultColWidth="9.140625" defaultRowHeight="15"/>
  <cols>
    <col min="1" max="1" width="5.7109375" style="275" customWidth="1"/>
    <col min="2" max="2" width="16.57421875" style="50" customWidth="1"/>
    <col min="3" max="3" width="11.421875" style="50" customWidth="1"/>
    <col min="4" max="4" width="20.140625" style="50" customWidth="1"/>
    <col min="5" max="5" width="16.00390625" style="50" customWidth="1"/>
    <col min="6" max="6" width="19.140625" style="50" customWidth="1"/>
    <col min="7" max="7" width="9.140625" style="50" customWidth="1"/>
    <col min="8" max="8" width="10.28125" style="50" customWidth="1"/>
    <col min="9" max="9" width="11.28125" style="50" customWidth="1"/>
    <col min="10" max="16384" width="9.140625" style="50" customWidth="1"/>
  </cols>
  <sheetData>
    <row r="1" spans="1:24" ht="17.25">
      <c r="A1" s="49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</row>
    <row r="2" spans="1:18" ht="17.25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24" ht="17.25">
      <c r="A3" s="499" t="s">
        <v>98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</row>
    <row r="4" spans="1:24" ht="18.75" customHeight="1">
      <c r="A4" s="500" t="s">
        <v>1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</row>
    <row r="5" spans="1:18" ht="12" customHeight="1">
      <c r="A5" s="262"/>
      <c r="B5" s="263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3"/>
      <c r="O5" s="263"/>
      <c r="P5" s="263"/>
      <c r="Q5" s="263"/>
      <c r="R5" s="263"/>
    </row>
    <row r="6" spans="1:24" ht="17.25">
      <c r="A6" s="499" t="s">
        <v>62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</row>
    <row r="7" spans="1:24" ht="14.25">
      <c r="A7" s="500" t="s">
        <v>2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</row>
    <row r="8" spans="1:24" ht="28.5" customHeight="1">
      <c r="A8" s="498" t="s">
        <v>58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</row>
    <row r="10" spans="1:24" ht="27" customHeight="1">
      <c r="A10" s="519" t="s">
        <v>99</v>
      </c>
      <c r="B10" s="510" t="s">
        <v>100</v>
      </c>
      <c r="C10" s="510" t="s">
        <v>3</v>
      </c>
      <c r="D10" s="510" t="s">
        <v>101</v>
      </c>
      <c r="E10" s="510" t="s">
        <v>4</v>
      </c>
      <c r="F10" s="510" t="s">
        <v>102</v>
      </c>
      <c r="G10" s="510" t="s">
        <v>103</v>
      </c>
      <c r="H10" s="510" t="s">
        <v>104</v>
      </c>
      <c r="I10" s="510" t="s">
        <v>20</v>
      </c>
      <c r="J10" s="507" t="s">
        <v>5</v>
      </c>
      <c r="K10" s="508"/>
      <c r="L10" s="508"/>
      <c r="M10" s="508"/>
      <c r="N10" s="509"/>
      <c r="O10" s="507" t="s">
        <v>5</v>
      </c>
      <c r="P10" s="508"/>
      <c r="Q10" s="508"/>
      <c r="R10" s="508"/>
      <c r="S10" s="509"/>
      <c r="T10" s="507" t="s">
        <v>5</v>
      </c>
      <c r="U10" s="508"/>
      <c r="V10" s="508"/>
      <c r="W10" s="508"/>
      <c r="X10" s="509"/>
    </row>
    <row r="11" spans="1:24" ht="29.25" customHeight="1">
      <c r="A11" s="520"/>
      <c r="B11" s="514"/>
      <c r="C11" s="514"/>
      <c r="D11" s="514"/>
      <c r="E11" s="514"/>
      <c r="F11" s="514"/>
      <c r="G11" s="514"/>
      <c r="H11" s="514"/>
      <c r="I11" s="514"/>
      <c r="J11" s="507" t="s">
        <v>6</v>
      </c>
      <c r="K11" s="508"/>
      <c r="L11" s="508"/>
      <c r="M11" s="508"/>
      <c r="N11" s="509"/>
      <c r="O11" s="507" t="s">
        <v>7</v>
      </c>
      <c r="P11" s="508"/>
      <c r="Q11" s="508"/>
      <c r="R11" s="508"/>
      <c r="S11" s="509"/>
      <c r="T11" s="507" t="s">
        <v>51</v>
      </c>
      <c r="U11" s="508"/>
      <c r="V11" s="508"/>
      <c r="W11" s="508"/>
      <c r="X11" s="509"/>
    </row>
    <row r="12" spans="1:24" ht="14.25">
      <c r="A12" s="520"/>
      <c r="B12" s="514"/>
      <c r="C12" s="514"/>
      <c r="D12" s="514"/>
      <c r="E12" s="514"/>
      <c r="F12" s="514"/>
      <c r="G12" s="514"/>
      <c r="H12" s="514"/>
      <c r="I12" s="514"/>
      <c r="J12" s="510" t="s">
        <v>8</v>
      </c>
      <c r="K12" s="507" t="s">
        <v>9</v>
      </c>
      <c r="L12" s="508"/>
      <c r="M12" s="508"/>
      <c r="N12" s="509"/>
      <c r="O12" s="510" t="s">
        <v>8</v>
      </c>
      <c r="P12" s="507" t="s">
        <v>9</v>
      </c>
      <c r="Q12" s="508"/>
      <c r="R12" s="508"/>
      <c r="S12" s="509"/>
      <c r="T12" s="510" t="s">
        <v>8</v>
      </c>
      <c r="U12" s="507" t="s">
        <v>10</v>
      </c>
      <c r="V12" s="508"/>
      <c r="W12" s="508"/>
      <c r="X12" s="509"/>
    </row>
    <row r="13" spans="1:24" ht="49.5" customHeight="1">
      <c r="A13" s="521"/>
      <c r="B13" s="511"/>
      <c r="C13" s="511"/>
      <c r="D13" s="511"/>
      <c r="E13" s="511"/>
      <c r="F13" s="511"/>
      <c r="G13" s="511"/>
      <c r="H13" s="511"/>
      <c r="I13" s="511"/>
      <c r="J13" s="511"/>
      <c r="K13" s="256" t="s">
        <v>105</v>
      </c>
      <c r="L13" s="256" t="s">
        <v>106</v>
      </c>
      <c r="M13" s="256" t="s">
        <v>107</v>
      </c>
      <c r="N13" s="256" t="s">
        <v>108</v>
      </c>
      <c r="O13" s="511"/>
      <c r="P13" s="256" t="s">
        <v>11</v>
      </c>
      <c r="Q13" s="256" t="s">
        <v>12</v>
      </c>
      <c r="R13" s="256" t="s">
        <v>13</v>
      </c>
      <c r="S13" s="256" t="s">
        <v>14</v>
      </c>
      <c r="T13" s="511"/>
      <c r="U13" s="256" t="s">
        <v>11</v>
      </c>
      <c r="V13" s="256" t="s">
        <v>12</v>
      </c>
      <c r="W13" s="256" t="s">
        <v>13</v>
      </c>
      <c r="X13" s="256" t="s">
        <v>14</v>
      </c>
    </row>
    <row r="14" spans="1:24" ht="14.25">
      <c r="A14" s="47">
        <v>1</v>
      </c>
      <c r="B14" s="256">
        <v>2</v>
      </c>
      <c r="C14" s="256">
        <v>3</v>
      </c>
      <c r="D14" s="256">
        <v>4</v>
      </c>
      <c r="E14" s="256">
        <v>5</v>
      </c>
      <c r="F14" s="256">
        <v>6</v>
      </c>
      <c r="G14" s="256">
        <v>7</v>
      </c>
      <c r="H14" s="256">
        <v>8</v>
      </c>
      <c r="I14" s="256">
        <v>9</v>
      </c>
      <c r="J14" s="256">
        <v>10</v>
      </c>
      <c r="K14" s="256">
        <v>11</v>
      </c>
      <c r="L14" s="256">
        <v>12</v>
      </c>
      <c r="M14" s="256">
        <v>13</v>
      </c>
      <c r="N14" s="256">
        <v>14</v>
      </c>
      <c r="O14" s="256">
        <v>15</v>
      </c>
      <c r="P14" s="256">
        <v>16</v>
      </c>
      <c r="Q14" s="256">
        <v>17</v>
      </c>
      <c r="R14" s="256">
        <v>18</v>
      </c>
      <c r="S14" s="256">
        <v>19</v>
      </c>
      <c r="T14" s="256">
        <v>20</v>
      </c>
      <c r="U14" s="256">
        <v>21</v>
      </c>
      <c r="V14" s="256">
        <v>22</v>
      </c>
      <c r="W14" s="256">
        <v>23</v>
      </c>
      <c r="X14" s="256">
        <v>24</v>
      </c>
    </row>
    <row r="15" spans="1:24" ht="14.25">
      <c r="A15" s="501" t="s">
        <v>63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3"/>
    </row>
    <row r="16" spans="1:24" ht="69.75" customHeight="1">
      <c r="A16" s="137">
        <v>1</v>
      </c>
      <c r="B16" s="144" t="s">
        <v>167</v>
      </c>
      <c r="C16" s="144" t="s">
        <v>185</v>
      </c>
      <c r="D16" s="265" t="s">
        <v>186</v>
      </c>
      <c r="E16" s="515" t="s">
        <v>201</v>
      </c>
      <c r="F16" s="288" t="s">
        <v>280</v>
      </c>
      <c r="G16" s="137">
        <v>2020</v>
      </c>
      <c r="H16" s="135">
        <v>3063.026</v>
      </c>
      <c r="I16" s="135">
        <v>3063.026</v>
      </c>
      <c r="J16" s="135">
        <v>3063.026</v>
      </c>
      <c r="K16" s="10">
        <f>(J16-N16-M16)*95%</f>
        <v>2880.775953</v>
      </c>
      <c r="L16" s="10">
        <f>(J16-N16-M16)*5%</f>
        <v>151.619787</v>
      </c>
      <c r="M16" s="10">
        <f>(J16-N16-(H16-I16))*1%+(H16-I16)</f>
        <v>30.63026</v>
      </c>
      <c r="N16" s="10"/>
      <c r="O16" s="135"/>
      <c r="P16" s="135"/>
      <c r="Q16" s="135"/>
      <c r="R16" s="135"/>
      <c r="S16" s="135"/>
      <c r="T16" s="135"/>
      <c r="U16" s="135"/>
      <c r="V16" s="135"/>
      <c r="W16" s="135"/>
      <c r="X16" s="136"/>
    </row>
    <row r="17" spans="1:24" ht="68.25" customHeight="1">
      <c r="A17" s="137">
        <v>2</v>
      </c>
      <c r="B17" s="80" t="s">
        <v>167</v>
      </c>
      <c r="C17" s="144" t="s">
        <v>185</v>
      </c>
      <c r="D17" s="265" t="s">
        <v>254</v>
      </c>
      <c r="E17" s="515"/>
      <c r="F17" s="151" t="s">
        <v>44</v>
      </c>
      <c r="G17" s="137">
        <v>2020</v>
      </c>
      <c r="H17" s="138">
        <v>1600</v>
      </c>
      <c r="I17" s="138">
        <v>1600</v>
      </c>
      <c r="J17" s="139">
        <v>1600</v>
      </c>
      <c r="K17" s="10">
        <f>(J17-N17-M17)*95%</f>
        <v>1504.8</v>
      </c>
      <c r="L17" s="10">
        <f>(J17-N17-M17)*5%</f>
        <v>79.2</v>
      </c>
      <c r="M17" s="10">
        <f>(J17-N17-(H17-I17))*1%+(H17-I17)</f>
        <v>16</v>
      </c>
      <c r="N17" s="140"/>
      <c r="O17" s="138"/>
      <c r="P17" s="138"/>
      <c r="Q17" s="140"/>
      <c r="R17" s="141"/>
      <c r="S17" s="140"/>
      <c r="T17" s="138"/>
      <c r="U17" s="138"/>
      <c r="V17" s="141"/>
      <c r="W17" s="142"/>
      <c r="X17" s="143"/>
    </row>
    <row r="18" spans="1:24" s="271" customFormat="1" ht="32.25" customHeight="1">
      <c r="A18" s="266"/>
      <c r="B18" s="266" t="s">
        <v>16</v>
      </c>
      <c r="C18" s="266" t="s">
        <v>16</v>
      </c>
      <c r="D18" s="267" t="s">
        <v>17</v>
      </c>
      <c r="E18" s="268" t="s">
        <v>16</v>
      </c>
      <c r="F18" s="269" t="s">
        <v>16</v>
      </c>
      <c r="G18" s="269" t="s">
        <v>16</v>
      </c>
      <c r="H18" s="270">
        <f aca="true" t="shared" si="0" ref="H18:X18">SUM(H16:H17)</f>
        <v>4663.026</v>
      </c>
      <c r="I18" s="270">
        <f t="shared" si="0"/>
        <v>4663.026</v>
      </c>
      <c r="J18" s="270">
        <f t="shared" si="0"/>
        <v>4663.026</v>
      </c>
      <c r="K18" s="270">
        <f t="shared" si="0"/>
        <v>4385.575953</v>
      </c>
      <c r="L18" s="270">
        <f t="shared" si="0"/>
        <v>230.81978700000002</v>
      </c>
      <c r="M18" s="270">
        <f t="shared" si="0"/>
        <v>46.63026</v>
      </c>
      <c r="N18" s="270">
        <f t="shared" si="0"/>
        <v>0</v>
      </c>
      <c r="O18" s="270">
        <f t="shared" si="0"/>
        <v>0</v>
      </c>
      <c r="P18" s="270">
        <f t="shared" si="0"/>
        <v>0</v>
      </c>
      <c r="Q18" s="270">
        <f t="shared" si="0"/>
        <v>0</v>
      </c>
      <c r="R18" s="270">
        <f t="shared" si="0"/>
        <v>0</v>
      </c>
      <c r="S18" s="270">
        <f t="shared" si="0"/>
        <v>0</v>
      </c>
      <c r="T18" s="270">
        <f t="shared" si="0"/>
        <v>0</v>
      </c>
      <c r="U18" s="270">
        <f t="shared" si="0"/>
        <v>0</v>
      </c>
      <c r="V18" s="270">
        <f t="shared" si="0"/>
        <v>0</v>
      </c>
      <c r="W18" s="270">
        <f t="shared" si="0"/>
        <v>0</v>
      </c>
      <c r="X18" s="270">
        <f t="shared" si="0"/>
        <v>0</v>
      </c>
    </row>
    <row r="19" spans="1:24" ht="14.25">
      <c r="A19" s="501" t="s">
        <v>65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3"/>
    </row>
    <row r="20" spans="1:24" s="287" customFormat="1" ht="39">
      <c r="A20" s="290"/>
      <c r="B20" s="321" t="s">
        <v>167</v>
      </c>
      <c r="C20" s="321" t="s">
        <v>185</v>
      </c>
      <c r="D20" s="321" t="s">
        <v>171</v>
      </c>
      <c r="E20" s="322"/>
      <c r="F20" s="323" t="s">
        <v>44</v>
      </c>
      <c r="G20" s="323">
        <v>2020</v>
      </c>
      <c r="H20" s="320">
        <v>1500</v>
      </c>
      <c r="I20" s="320">
        <v>1500</v>
      </c>
      <c r="J20" s="320">
        <v>1500</v>
      </c>
      <c r="K20" s="10">
        <f>(J20-N20-M20)*95%</f>
        <v>1410.75</v>
      </c>
      <c r="L20" s="10">
        <f>(J20-N20-M20)*5%</f>
        <v>74.25</v>
      </c>
      <c r="M20" s="10">
        <f>(J20-N20-(H20-I20))*1%+(H20-I20)</f>
        <v>15</v>
      </c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24" s="81" customFormat="1" ht="81.75" customHeight="1">
      <c r="A21" s="79">
        <v>3</v>
      </c>
      <c r="B21" s="80" t="s">
        <v>167</v>
      </c>
      <c r="C21" s="80" t="s">
        <v>185</v>
      </c>
      <c r="D21" s="30" t="s">
        <v>202</v>
      </c>
      <c r="E21" s="115"/>
      <c r="F21" s="79" t="s">
        <v>44</v>
      </c>
      <c r="G21" s="79">
        <v>2020</v>
      </c>
      <c r="H21" s="13">
        <v>700</v>
      </c>
      <c r="I21" s="13">
        <v>700</v>
      </c>
      <c r="J21" s="13">
        <v>700</v>
      </c>
      <c r="K21" s="10"/>
      <c r="L21" s="10"/>
      <c r="M21" s="10"/>
      <c r="N21" s="13">
        <v>700</v>
      </c>
      <c r="O21" s="95"/>
      <c r="P21" s="10"/>
      <c r="Q21" s="10"/>
      <c r="R21" s="10"/>
      <c r="S21" s="95"/>
      <c r="T21" s="95"/>
      <c r="U21" s="10"/>
      <c r="V21" s="10"/>
      <c r="W21" s="10"/>
      <c r="X21" s="95"/>
    </row>
    <row r="22" spans="1:24" s="271" customFormat="1" ht="33.75" customHeight="1">
      <c r="A22" s="266"/>
      <c r="B22" s="266" t="s">
        <v>16</v>
      </c>
      <c r="C22" s="266" t="s">
        <v>16</v>
      </c>
      <c r="D22" s="272" t="s">
        <v>17</v>
      </c>
      <c r="E22" s="269" t="s">
        <v>16</v>
      </c>
      <c r="F22" s="267"/>
      <c r="G22" s="269"/>
      <c r="H22" s="273">
        <f>SUM(H21:H21)</f>
        <v>700</v>
      </c>
      <c r="I22" s="273">
        <f aca="true" t="shared" si="1" ref="I22:X22">SUM(I21:I21)</f>
        <v>700</v>
      </c>
      <c r="J22" s="273">
        <f t="shared" si="1"/>
        <v>700</v>
      </c>
      <c r="K22" s="273">
        <f t="shared" si="1"/>
        <v>0</v>
      </c>
      <c r="L22" s="273">
        <f t="shared" si="1"/>
        <v>0</v>
      </c>
      <c r="M22" s="273">
        <f t="shared" si="1"/>
        <v>0</v>
      </c>
      <c r="N22" s="273">
        <f t="shared" si="1"/>
        <v>700</v>
      </c>
      <c r="O22" s="273">
        <f t="shared" si="1"/>
        <v>0</v>
      </c>
      <c r="P22" s="273">
        <f t="shared" si="1"/>
        <v>0</v>
      </c>
      <c r="Q22" s="273">
        <f t="shared" si="1"/>
        <v>0</v>
      </c>
      <c r="R22" s="273">
        <f t="shared" si="1"/>
        <v>0</v>
      </c>
      <c r="S22" s="273">
        <f t="shared" si="1"/>
        <v>0</v>
      </c>
      <c r="T22" s="273">
        <f t="shared" si="1"/>
        <v>0</v>
      </c>
      <c r="U22" s="273">
        <f t="shared" si="1"/>
        <v>0</v>
      </c>
      <c r="V22" s="273">
        <f t="shared" si="1"/>
        <v>0</v>
      </c>
      <c r="W22" s="273">
        <f t="shared" si="1"/>
        <v>0</v>
      </c>
      <c r="X22" s="273">
        <f t="shared" si="1"/>
        <v>0</v>
      </c>
    </row>
    <row r="23" spans="1:24" ht="14.25">
      <c r="A23" s="504" t="s">
        <v>109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6"/>
    </row>
    <row r="24" spans="1:24" ht="84.75" customHeight="1">
      <c r="A24" s="137">
        <v>4</v>
      </c>
      <c r="B24" s="144" t="s">
        <v>167</v>
      </c>
      <c r="C24" s="144" t="s">
        <v>185</v>
      </c>
      <c r="D24" s="145" t="s">
        <v>233</v>
      </c>
      <c r="E24" s="516" t="s">
        <v>201</v>
      </c>
      <c r="F24" s="288" t="s">
        <v>280</v>
      </c>
      <c r="G24" s="137">
        <v>2020</v>
      </c>
      <c r="H24" s="135">
        <v>595.439</v>
      </c>
      <c r="I24" s="135">
        <v>595.439</v>
      </c>
      <c r="J24" s="135">
        <v>595.439</v>
      </c>
      <c r="K24" s="10">
        <f>(J24-N24-M24)*95%</f>
        <v>560.0103795</v>
      </c>
      <c r="L24" s="10">
        <f>(J24-N24-M24)*5%</f>
        <v>29.4742305</v>
      </c>
      <c r="M24" s="10">
        <f>(J24-N24-(H24-I24))*1%+(H24-I24)</f>
        <v>5.95439</v>
      </c>
      <c r="N24" s="147"/>
      <c r="O24" s="136"/>
      <c r="P24" s="136"/>
      <c r="Q24" s="136"/>
      <c r="R24" s="136"/>
      <c r="S24" s="147"/>
      <c r="T24" s="136"/>
      <c r="U24" s="136"/>
      <c r="V24" s="136"/>
      <c r="W24" s="136"/>
      <c r="X24" s="147"/>
    </row>
    <row r="25" spans="1:24" ht="68.25" customHeight="1">
      <c r="A25" s="137">
        <v>5</v>
      </c>
      <c r="B25" s="144" t="s">
        <v>167</v>
      </c>
      <c r="C25" s="144" t="s">
        <v>195</v>
      </c>
      <c r="D25" s="145" t="s">
        <v>196</v>
      </c>
      <c r="E25" s="517"/>
      <c r="F25" s="288" t="s">
        <v>280</v>
      </c>
      <c r="G25" s="137">
        <v>2020</v>
      </c>
      <c r="H25" s="135">
        <f>323.381</f>
        <v>323.381</v>
      </c>
      <c r="I25" s="135">
        <v>323.381</v>
      </c>
      <c r="J25" s="135">
        <v>323.381</v>
      </c>
      <c r="K25" s="10">
        <f>(J25-N25-M25)*95%</f>
        <v>304.13983049999996</v>
      </c>
      <c r="L25" s="10">
        <f>(J25-N25-M25)*5%</f>
        <v>16.0073595</v>
      </c>
      <c r="M25" s="10">
        <f>(J25-N25-(H25-I25))*1%+(H25-I25)</f>
        <v>3.2338099999999996</v>
      </c>
      <c r="N25" s="147"/>
      <c r="O25" s="136"/>
      <c r="P25" s="136"/>
      <c r="Q25" s="136"/>
      <c r="R25" s="136"/>
      <c r="S25" s="147"/>
      <c r="T25" s="136"/>
      <c r="U25" s="136"/>
      <c r="V25" s="136"/>
      <c r="W25" s="136"/>
      <c r="X25" s="147"/>
    </row>
    <row r="26" spans="1:24" s="271" customFormat="1" ht="35.25" customHeight="1">
      <c r="A26" s="266"/>
      <c r="B26" s="266"/>
      <c r="C26" s="266"/>
      <c r="D26" s="272" t="s">
        <v>17</v>
      </c>
      <c r="E26" s="269"/>
      <c r="F26" s="267"/>
      <c r="G26" s="269"/>
      <c r="H26" s="270">
        <f>H24+H25</f>
        <v>918.8199999999999</v>
      </c>
      <c r="I26" s="270">
        <f aca="true" t="shared" si="2" ref="I26:N26">I24+I25</f>
        <v>918.8199999999999</v>
      </c>
      <c r="J26" s="270">
        <f t="shared" si="2"/>
        <v>918.8199999999999</v>
      </c>
      <c r="K26" s="270">
        <f t="shared" si="2"/>
        <v>864.15021</v>
      </c>
      <c r="L26" s="270">
        <f t="shared" si="2"/>
        <v>45.48159</v>
      </c>
      <c r="M26" s="270">
        <f t="shared" si="2"/>
        <v>9.1882</v>
      </c>
      <c r="N26" s="270">
        <f t="shared" si="2"/>
        <v>0</v>
      </c>
      <c r="O26" s="270"/>
      <c r="P26" s="270"/>
      <c r="Q26" s="270"/>
      <c r="R26" s="270"/>
      <c r="S26" s="274"/>
      <c r="T26" s="270"/>
      <c r="U26" s="270"/>
      <c r="V26" s="270"/>
      <c r="W26" s="270"/>
      <c r="X26" s="274"/>
    </row>
    <row r="27" spans="1:24" ht="14.25">
      <c r="A27" s="504" t="s">
        <v>142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6"/>
    </row>
    <row r="28" spans="1:24" ht="79.5" customHeight="1">
      <c r="A28" s="137">
        <v>6</v>
      </c>
      <c r="B28" s="144" t="s">
        <v>167</v>
      </c>
      <c r="C28" s="144" t="s">
        <v>185</v>
      </c>
      <c r="D28" s="145" t="s">
        <v>226</v>
      </c>
      <c r="E28" s="137"/>
      <c r="F28" s="137" t="s">
        <v>235</v>
      </c>
      <c r="G28" s="137">
        <v>2020</v>
      </c>
      <c r="H28" s="135">
        <v>2579</v>
      </c>
      <c r="I28" s="135">
        <v>2579</v>
      </c>
      <c r="J28" s="135">
        <v>2579</v>
      </c>
      <c r="K28" s="10">
        <f>(J28-N28-M28)*95%</f>
        <v>2425.5495</v>
      </c>
      <c r="L28" s="10">
        <f>(J28-N28-M28)*5%</f>
        <v>127.66050000000001</v>
      </c>
      <c r="M28" s="10">
        <f>(J28-N28-(H28-I28))*1%+(H28-I28)</f>
        <v>25.79</v>
      </c>
      <c r="N28" s="146"/>
      <c r="O28" s="135"/>
      <c r="P28" s="10"/>
      <c r="Q28" s="10"/>
      <c r="R28" s="10"/>
      <c r="S28" s="147"/>
      <c r="T28" s="136"/>
      <c r="U28" s="136"/>
      <c r="V28" s="136"/>
      <c r="W28" s="136"/>
      <c r="X28" s="147"/>
    </row>
    <row r="29" spans="1:24" s="271" customFormat="1" ht="31.5" customHeight="1">
      <c r="A29" s="266"/>
      <c r="B29" s="266"/>
      <c r="C29" s="266"/>
      <c r="D29" s="272" t="s">
        <v>17</v>
      </c>
      <c r="E29" s="269"/>
      <c r="F29" s="267"/>
      <c r="G29" s="269"/>
      <c r="H29" s="270">
        <f aca="true" t="shared" si="3" ref="H29:M29">H28</f>
        <v>2579</v>
      </c>
      <c r="I29" s="270">
        <f t="shared" si="3"/>
        <v>2579</v>
      </c>
      <c r="J29" s="270">
        <f t="shared" si="3"/>
        <v>2579</v>
      </c>
      <c r="K29" s="270">
        <f t="shared" si="3"/>
        <v>2425.5495</v>
      </c>
      <c r="L29" s="270">
        <f t="shared" si="3"/>
        <v>127.66050000000001</v>
      </c>
      <c r="M29" s="270">
        <f t="shared" si="3"/>
        <v>25.79</v>
      </c>
      <c r="N29" s="274"/>
      <c r="O29" s="270"/>
      <c r="P29" s="270"/>
      <c r="Q29" s="270"/>
      <c r="R29" s="270"/>
      <c r="S29" s="274"/>
      <c r="T29" s="270"/>
      <c r="U29" s="270"/>
      <c r="V29" s="270"/>
      <c r="W29" s="270"/>
      <c r="X29" s="274"/>
    </row>
    <row r="30" spans="1:24" s="271" customFormat="1" ht="35.25" customHeight="1">
      <c r="A30" s="266"/>
      <c r="B30" s="266" t="s">
        <v>16</v>
      </c>
      <c r="C30" s="266" t="s">
        <v>16</v>
      </c>
      <c r="D30" s="267" t="s">
        <v>18</v>
      </c>
      <c r="E30" s="269" t="s">
        <v>16</v>
      </c>
      <c r="F30" s="269" t="s">
        <v>16</v>
      </c>
      <c r="G30" s="269" t="s">
        <v>16</v>
      </c>
      <c r="H30" s="270">
        <f>H18+H22+H26+H29</f>
        <v>8860.846</v>
      </c>
      <c r="I30" s="270">
        <f aca="true" t="shared" si="4" ref="I30:X30">I18+I22+I26+I29</f>
        <v>8860.846</v>
      </c>
      <c r="J30" s="270">
        <f t="shared" si="4"/>
        <v>8860.846</v>
      </c>
      <c r="K30" s="270">
        <f t="shared" si="4"/>
        <v>7675.275662999999</v>
      </c>
      <c r="L30" s="270">
        <f t="shared" si="4"/>
        <v>403.961877</v>
      </c>
      <c r="M30" s="270">
        <f t="shared" si="4"/>
        <v>81.60846000000001</v>
      </c>
      <c r="N30" s="270">
        <f t="shared" si="4"/>
        <v>700</v>
      </c>
      <c r="O30" s="270">
        <f t="shared" si="4"/>
        <v>0</v>
      </c>
      <c r="P30" s="270">
        <f t="shared" si="4"/>
        <v>0</v>
      </c>
      <c r="Q30" s="270">
        <f t="shared" si="4"/>
        <v>0</v>
      </c>
      <c r="R30" s="270">
        <f t="shared" si="4"/>
        <v>0</v>
      </c>
      <c r="S30" s="270">
        <f t="shared" si="4"/>
        <v>0</v>
      </c>
      <c r="T30" s="270">
        <f t="shared" si="4"/>
        <v>0</v>
      </c>
      <c r="U30" s="270">
        <f t="shared" si="4"/>
        <v>0</v>
      </c>
      <c r="V30" s="270">
        <f t="shared" si="4"/>
        <v>0</v>
      </c>
      <c r="W30" s="270">
        <f t="shared" si="4"/>
        <v>0</v>
      </c>
      <c r="X30" s="270">
        <f t="shared" si="4"/>
        <v>0</v>
      </c>
    </row>
    <row r="31" spans="1:24" s="127" customFormat="1" ht="116.25" customHeight="1">
      <c r="A31" s="344" t="s">
        <v>29</v>
      </c>
      <c r="B31" s="345"/>
      <c r="C31" s="345"/>
      <c r="D31" s="345"/>
      <c r="E31" s="345"/>
      <c r="F31" s="345"/>
      <c r="G31" s="154"/>
      <c r="H31" s="24"/>
      <c r="I31" s="24"/>
      <c r="J31" s="24"/>
      <c r="K31" s="24"/>
      <c r="L31" s="24"/>
      <c r="M31" s="24"/>
      <c r="N31" s="346" t="s">
        <v>28</v>
      </c>
      <c r="O31" s="347"/>
      <c r="P31" s="347"/>
      <c r="Q31" s="126"/>
      <c r="R31" s="346"/>
      <c r="S31" s="347"/>
      <c r="T31" s="347"/>
      <c r="U31" s="24"/>
      <c r="V31" s="24"/>
      <c r="W31" s="24"/>
      <c r="X31" s="24"/>
    </row>
    <row r="32" spans="1:24" s="26" customFormat="1" ht="114.75" customHeight="1">
      <c r="A32" s="128"/>
      <c r="B32" s="128"/>
      <c r="C32" s="128"/>
      <c r="D32" s="128"/>
      <c r="E32" s="128"/>
      <c r="F32" s="128"/>
      <c r="G32" s="130"/>
      <c r="H32" s="25"/>
      <c r="I32" s="25"/>
      <c r="J32" s="25"/>
      <c r="K32" s="25"/>
      <c r="L32" s="25"/>
      <c r="M32" s="25"/>
      <c r="N32" s="340"/>
      <c r="O32" s="341"/>
      <c r="P32" s="341"/>
      <c r="Q32" s="131"/>
      <c r="R32" s="340"/>
      <c r="S32" s="341"/>
      <c r="T32" s="341"/>
      <c r="U32" s="25"/>
      <c r="V32" s="25"/>
      <c r="W32" s="25"/>
      <c r="X32" s="25"/>
    </row>
    <row r="33" spans="1:24" s="26" customFormat="1" ht="20.25" customHeight="1">
      <c r="A33" s="132" t="s">
        <v>19</v>
      </c>
      <c r="B33" s="133"/>
      <c r="C33" s="132"/>
      <c r="D33" s="132"/>
      <c r="E33" s="128"/>
      <c r="F33" s="128"/>
      <c r="G33" s="130"/>
      <c r="H33" s="25"/>
      <c r="I33" s="25"/>
      <c r="J33" s="25"/>
      <c r="K33" s="25"/>
      <c r="L33" s="25"/>
      <c r="M33" s="25"/>
      <c r="N33" s="131"/>
      <c r="O33" s="131"/>
      <c r="P33" s="131"/>
      <c r="Q33" s="131"/>
      <c r="R33" s="131"/>
      <c r="S33" s="25"/>
      <c r="T33" s="25"/>
      <c r="U33" s="25"/>
      <c r="V33" s="25"/>
      <c r="W33" s="25"/>
      <c r="X33" s="25"/>
    </row>
    <row r="34" spans="1:24" s="26" customFormat="1" ht="20.25" customHeight="1">
      <c r="A34" s="132" t="s">
        <v>27</v>
      </c>
      <c r="B34" s="132"/>
      <c r="C34" s="132"/>
      <c r="D34" s="132"/>
      <c r="E34" s="128"/>
      <c r="F34" s="128"/>
      <c r="G34" s="130"/>
      <c r="H34" s="25"/>
      <c r="I34" s="25"/>
      <c r="J34" s="25"/>
      <c r="K34" s="25"/>
      <c r="L34" s="25"/>
      <c r="M34" s="25"/>
      <c r="N34" s="131"/>
      <c r="O34" s="131"/>
      <c r="P34" s="131"/>
      <c r="Q34" s="131"/>
      <c r="R34" s="131"/>
      <c r="S34" s="25"/>
      <c r="T34" s="25"/>
      <c r="U34" s="25"/>
      <c r="V34" s="25"/>
      <c r="W34" s="25"/>
      <c r="X34" s="25"/>
    </row>
  </sheetData>
  <sheetProtection/>
  <mergeCells count="38">
    <mergeCell ref="E16:E17"/>
    <mergeCell ref="E24:E25"/>
    <mergeCell ref="A27:X27"/>
    <mergeCell ref="A1:X1"/>
    <mergeCell ref="T11:X11"/>
    <mergeCell ref="J12:J13"/>
    <mergeCell ref="A10:A13"/>
    <mergeCell ref="B10:B13"/>
    <mergeCell ref="C10:C13"/>
    <mergeCell ref="D10:D13"/>
    <mergeCell ref="F10:F13"/>
    <mergeCell ref="U12:X12"/>
    <mergeCell ref="I10:I13"/>
    <mergeCell ref="J10:N10"/>
    <mergeCell ref="O10:S10"/>
    <mergeCell ref="T10:X10"/>
    <mergeCell ref="J11:N11"/>
    <mergeCell ref="O11:S11"/>
    <mergeCell ref="N31:P31"/>
    <mergeCell ref="R31:T31"/>
    <mergeCell ref="K12:N12"/>
    <mergeCell ref="O12:O13"/>
    <mergeCell ref="P12:S12"/>
    <mergeCell ref="T12:T13"/>
    <mergeCell ref="A15:X15"/>
    <mergeCell ref="G10:G13"/>
    <mergeCell ref="H10:H13"/>
    <mergeCell ref="E10:E13"/>
    <mergeCell ref="N32:P32"/>
    <mergeCell ref="R32:T32"/>
    <mergeCell ref="A8:X8"/>
    <mergeCell ref="A6:X6"/>
    <mergeCell ref="A3:X3"/>
    <mergeCell ref="A4:X4"/>
    <mergeCell ref="A7:X7"/>
    <mergeCell ref="A19:X19"/>
    <mergeCell ref="A23:X23"/>
    <mergeCell ref="A31:F31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70" zoomScaleNormal="70" zoomScalePageLayoutView="0" workbookViewId="0" topLeftCell="A10">
      <selection activeCell="I13" sqref="I13"/>
    </sheetView>
  </sheetViews>
  <sheetFormatPr defaultColWidth="9.140625" defaultRowHeight="15"/>
  <cols>
    <col min="1" max="1" width="6.28125" style="62" customWidth="1"/>
    <col min="2" max="2" width="17.57421875" style="68" hidden="1" customWidth="1"/>
    <col min="3" max="3" width="23.140625" style="62" customWidth="1"/>
    <col min="4" max="7" width="0" style="62" hidden="1" customWidth="1"/>
    <col min="8" max="8" width="16.8515625" style="62" customWidth="1"/>
    <col min="9" max="9" width="16.28125" style="62" customWidth="1"/>
    <col min="10" max="10" width="14.28125" style="62" customWidth="1"/>
    <col min="11" max="11" width="13.00390625" style="62" customWidth="1"/>
    <col min="12" max="12" width="13.140625" style="62" customWidth="1"/>
    <col min="13" max="13" width="11.00390625" style="62" customWidth="1"/>
    <col min="14" max="14" width="12.8515625" style="62" customWidth="1"/>
    <col min="15" max="15" width="13.421875" style="62" customWidth="1"/>
    <col min="16" max="16" width="13.7109375" style="62" customWidth="1"/>
    <col min="17" max="18" width="12.28125" style="62" customWidth="1"/>
    <col min="19" max="19" width="12.7109375" style="62" customWidth="1"/>
    <col min="20" max="20" width="13.8515625" style="62" customWidth="1"/>
    <col min="21" max="21" width="12.7109375" style="62" customWidth="1"/>
    <col min="22" max="22" width="11.140625" style="62" customWidth="1"/>
    <col min="23" max="24" width="12.7109375" style="62" customWidth="1"/>
    <col min="25" max="16384" width="9.140625" style="62" customWidth="1"/>
  </cols>
  <sheetData>
    <row r="1" spans="1:24" s="5" customFormat="1" ht="19.5" customHeight="1">
      <c r="A1" s="522" t="s">
        <v>26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</row>
    <row r="2" spans="1:24" s="5" customFormat="1" ht="19.5" customHeight="1" hidden="1">
      <c r="A2" s="524" t="s">
        <v>78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</row>
    <row r="3" spans="1:24" s="5" customFormat="1" ht="13.5" customHeight="1">
      <c r="A3" s="526" t="s">
        <v>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</row>
    <row r="4" spans="1:24" s="5" customFormat="1" ht="17.25" customHeight="1">
      <c r="A4" s="527" t="s">
        <v>62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</row>
    <row r="5" spans="1:24" s="2" customFormat="1" ht="15">
      <c r="A5" s="529" t="s">
        <v>2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</row>
    <row r="6" spans="1:24" s="2" customFormat="1" ht="24" customHeight="1">
      <c r="A6" s="530" t="s">
        <v>25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</row>
    <row r="7" spans="1:24" s="2" customFormat="1" ht="13.5" customHeight="1">
      <c r="A7" s="3"/>
      <c r="B7" s="35"/>
      <c r="C7" s="3"/>
      <c r="D7" s="1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56" customFormat="1" ht="37.5" customHeight="1">
      <c r="A8" s="324" t="s">
        <v>122</v>
      </c>
      <c r="B8" s="326" t="s">
        <v>123</v>
      </c>
      <c r="C8" s="324" t="s">
        <v>3</v>
      </c>
      <c r="D8" s="329" t="s">
        <v>124</v>
      </c>
      <c r="E8" s="324" t="s">
        <v>4</v>
      </c>
      <c r="F8" s="324" t="s">
        <v>125</v>
      </c>
      <c r="G8" s="324" t="s">
        <v>126</v>
      </c>
      <c r="H8" s="331" t="s">
        <v>127</v>
      </c>
      <c r="I8" s="331" t="s">
        <v>20</v>
      </c>
      <c r="J8" s="331" t="s">
        <v>5</v>
      </c>
      <c r="K8" s="332"/>
      <c r="L8" s="332"/>
      <c r="M8" s="332"/>
      <c r="N8" s="332"/>
      <c r="O8" s="331" t="s">
        <v>5</v>
      </c>
      <c r="P8" s="332"/>
      <c r="Q8" s="332"/>
      <c r="R8" s="332"/>
      <c r="S8" s="332"/>
      <c r="T8" s="331" t="s">
        <v>5</v>
      </c>
      <c r="U8" s="332"/>
      <c r="V8" s="332"/>
      <c r="W8" s="332"/>
      <c r="X8" s="332"/>
    </row>
    <row r="9" spans="1:24" s="56" customFormat="1" ht="19.5" customHeight="1">
      <c r="A9" s="325"/>
      <c r="B9" s="327"/>
      <c r="C9" s="325"/>
      <c r="D9" s="330"/>
      <c r="E9" s="325"/>
      <c r="F9" s="325"/>
      <c r="G9" s="325"/>
      <c r="H9" s="332"/>
      <c r="I9" s="332"/>
      <c r="J9" s="331" t="s">
        <v>6</v>
      </c>
      <c r="K9" s="332"/>
      <c r="L9" s="332"/>
      <c r="M9" s="332"/>
      <c r="N9" s="332"/>
      <c r="O9" s="331" t="s">
        <v>7</v>
      </c>
      <c r="P9" s="332"/>
      <c r="Q9" s="332"/>
      <c r="R9" s="332"/>
      <c r="S9" s="332"/>
      <c r="T9" s="331" t="s">
        <v>51</v>
      </c>
      <c r="U9" s="332"/>
      <c r="V9" s="332"/>
      <c r="W9" s="332"/>
      <c r="X9" s="332"/>
    </row>
    <row r="10" spans="1:24" s="56" customFormat="1" ht="21" customHeight="1">
      <c r="A10" s="325"/>
      <c r="B10" s="327"/>
      <c r="C10" s="325"/>
      <c r="D10" s="330"/>
      <c r="E10" s="325"/>
      <c r="F10" s="325"/>
      <c r="G10" s="325"/>
      <c r="H10" s="332"/>
      <c r="I10" s="332"/>
      <c r="J10" s="331" t="s">
        <v>8</v>
      </c>
      <c r="K10" s="331" t="s">
        <v>9</v>
      </c>
      <c r="L10" s="332"/>
      <c r="M10" s="332"/>
      <c r="N10" s="332"/>
      <c r="O10" s="331" t="s">
        <v>8</v>
      </c>
      <c r="P10" s="331" t="s">
        <v>9</v>
      </c>
      <c r="Q10" s="332"/>
      <c r="R10" s="332"/>
      <c r="S10" s="332"/>
      <c r="T10" s="331" t="s">
        <v>8</v>
      </c>
      <c r="U10" s="331" t="s">
        <v>10</v>
      </c>
      <c r="V10" s="332"/>
      <c r="W10" s="332"/>
      <c r="X10" s="332"/>
    </row>
    <row r="11" spans="1:24" s="56" customFormat="1" ht="87" customHeight="1">
      <c r="A11" s="325"/>
      <c r="B11" s="328"/>
      <c r="C11" s="325"/>
      <c r="D11" s="330"/>
      <c r="E11" s="325"/>
      <c r="F11" s="325"/>
      <c r="G11" s="325"/>
      <c r="H11" s="332"/>
      <c r="I11" s="332"/>
      <c r="J11" s="332"/>
      <c r="K11" s="57" t="s">
        <v>128</v>
      </c>
      <c r="L11" s="57" t="s">
        <v>129</v>
      </c>
      <c r="M11" s="57" t="s">
        <v>130</v>
      </c>
      <c r="N11" s="57" t="s">
        <v>131</v>
      </c>
      <c r="O11" s="332"/>
      <c r="P11" s="57" t="s">
        <v>11</v>
      </c>
      <c r="Q11" s="57" t="s">
        <v>12</v>
      </c>
      <c r="R11" s="57" t="s">
        <v>13</v>
      </c>
      <c r="S11" s="57" t="s">
        <v>14</v>
      </c>
      <c r="T11" s="332"/>
      <c r="U11" s="57" t="s">
        <v>11</v>
      </c>
      <c r="V11" s="57" t="s">
        <v>12</v>
      </c>
      <c r="W11" s="57" t="s">
        <v>13</v>
      </c>
      <c r="X11" s="57" t="s">
        <v>14</v>
      </c>
    </row>
    <row r="12" spans="1:24" s="4" customFormat="1" ht="21" customHeight="1">
      <c r="A12" s="40">
        <v>1</v>
      </c>
      <c r="B12" s="41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  <c r="Q12" s="40">
        <v>17</v>
      </c>
      <c r="R12" s="40">
        <v>18</v>
      </c>
      <c r="S12" s="40">
        <v>19</v>
      </c>
      <c r="T12" s="40">
        <v>20</v>
      </c>
      <c r="U12" s="40">
        <v>21</v>
      </c>
      <c r="V12" s="40">
        <v>22</v>
      </c>
      <c r="W12" s="40">
        <v>23</v>
      </c>
      <c r="X12" s="40">
        <v>24</v>
      </c>
    </row>
    <row r="13" spans="1:24" ht="62.25" customHeight="1">
      <c r="A13" s="58">
        <v>1</v>
      </c>
      <c r="B13" s="59" t="s">
        <v>15</v>
      </c>
      <c r="C13" s="59" t="s">
        <v>111</v>
      </c>
      <c r="D13" s="60"/>
      <c r="E13" s="60"/>
      <c r="F13" s="60"/>
      <c r="G13" s="60"/>
      <c r="H13" s="63">
        <f>'В-Биджа'!H32</f>
        <v>11514.116</v>
      </c>
      <c r="I13" s="61">
        <f>'В-Биджа'!I32</f>
        <v>11514.116</v>
      </c>
      <c r="J13" s="63">
        <f>'В-Биджа'!J32</f>
        <v>11514.116</v>
      </c>
      <c r="K13" s="61">
        <f>'В-Биджа'!K32</f>
        <v>10358.776098</v>
      </c>
      <c r="L13" s="61">
        <f>'В-Биджа'!L32</f>
        <v>545.198742</v>
      </c>
      <c r="M13" s="61">
        <f>'В-Биджа'!M32</f>
        <v>110.14116</v>
      </c>
      <c r="N13" s="61">
        <f>'В-Биджа'!N32</f>
        <v>500</v>
      </c>
      <c r="O13" s="61">
        <f>'В-Биджа'!O32</f>
        <v>0</v>
      </c>
      <c r="P13" s="61">
        <f>'В-Биджа'!P32</f>
        <v>0</v>
      </c>
      <c r="Q13" s="61">
        <f>'В-Биджа'!Q32</f>
        <v>0</v>
      </c>
      <c r="R13" s="61">
        <f>'В-Биджа'!R32</f>
        <v>0</v>
      </c>
      <c r="S13" s="61">
        <f>'В-Биджа'!S32</f>
        <v>0</v>
      </c>
      <c r="T13" s="61">
        <f>'В-Биджа'!T32</f>
        <v>0</v>
      </c>
      <c r="U13" s="61">
        <f>'В-Биджа'!U32</f>
        <v>0</v>
      </c>
      <c r="V13" s="61">
        <f>'В-Биджа'!V32</f>
        <v>0</v>
      </c>
      <c r="W13" s="61">
        <f>'В-Биджа'!W32</f>
        <v>0</v>
      </c>
      <c r="X13" s="61">
        <f>'В-Биджа'!X32</f>
        <v>0</v>
      </c>
    </row>
    <row r="14" spans="1:24" ht="40.5" customHeight="1">
      <c r="A14" s="58">
        <v>2</v>
      </c>
      <c r="B14" s="59" t="s">
        <v>15</v>
      </c>
      <c r="C14" s="59" t="s">
        <v>112</v>
      </c>
      <c r="D14" s="60"/>
      <c r="E14" s="60"/>
      <c r="F14" s="60"/>
      <c r="G14" s="60"/>
      <c r="H14" s="63">
        <f>Весеннее!H25</f>
        <v>3646.12</v>
      </c>
      <c r="I14" s="61">
        <f>Весеннее!I25</f>
        <v>3646.12</v>
      </c>
      <c r="J14" s="63">
        <f>Весеннее!J25</f>
        <v>3646.12</v>
      </c>
      <c r="K14" s="61">
        <f>Весеннее!K25</f>
        <v>2770.82586</v>
      </c>
      <c r="L14" s="61">
        <f>Весеннее!L25</f>
        <v>145.83294</v>
      </c>
      <c r="M14" s="61">
        <f>Весеннее!M25</f>
        <v>29.461199999999998</v>
      </c>
      <c r="N14" s="61">
        <f>Весеннее!N25</f>
        <v>700</v>
      </c>
      <c r="O14" s="61">
        <f>Весеннее!O25</f>
        <v>0</v>
      </c>
      <c r="P14" s="61">
        <f>Весеннее!P25</f>
        <v>0</v>
      </c>
      <c r="Q14" s="61">
        <f>Весеннее!Q25</f>
        <v>0</v>
      </c>
      <c r="R14" s="61">
        <f>Весеннее!R25</f>
        <v>0</v>
      </c>
      <c r="S14" s="61">
        <f>Весеннее!S25</f>
        <v>0</v>
      </c>
      <c r="T14" s="61">
        <f>Весеннее!T25</f>
        <v>0</v>
      </c>
      <c r="U14" s="61">
        <f>Весеннее!U25</f>
        <v>0</v>
      </c>
      <c r="V14" s="61">
        <f>Весеннее!V25</f>
        <v>0</v>
      </c>
      <c r="W14" s="61">
        <f>Весеннее!W25</f>
        <v>0</v>
      </c>
      <c r="X14" s="61">
        <f>Весеннее!X25</f>
        <v>0</v>
      </c>
    </row>
    <row r="15" spans="1:24" ht="40.5" customHeight="1">
      <c r="A15" s="58">
        <v>3</v>
      </c>
      <c r="B15" s="59" t="s">
        <v>15</v>
      </c>
      <c r="C15" s="59" t="s">
        <v>116</v>
      </c>
      <c r="D15" s="60"/>
      <c r="E15" s="60"/>
      <c r="F15" s="60"/>
      <c r="G15" s="60"/>
      <c r="H15" s="63">
        <f>Доможаковский!H34</f>
        <v>8581.597</v>
      </c>
      <c r="I15" s="61">
        <f>Доможаковский!I34</f>
        <v>8581.597</v>
      </c>
      <c r="J15" s="63">
        <f>Доможаковский!J34</f>
        <v>8581.597</v>
      </c>
      <c r="K15" s="61">
        <f>Доможаковский!K34</f>
        <v>7598.860978499999</v>
      </c>
      <c r="L15" s="61">
        <f>Доможаковский!L34</f>
        <v>399.9400515</v>
      </c>
      <c r="M15" s="61">
        <f>Доможаковский!M34</f>
        <v>80.79597000000001</v>
      </c>
      <c r="N15" s="61">
        <f>Доможаковский!N34</f>
        <v>502</v>
      </c>
      <c r="O15" s="61">
        <f>Доможаковский!O34</f>
        <v>0</v>
      </c>
      <c r="P15" s="61">
        <f>Доможаковский!P34</f>
        <v>0</v>
      </c>
      <c r="Q15" s="61">
        <f>Доможаковский!Q34</f>
        <v>0</v>
      </c>
      <c r="R15" s="61">
        <f>Доможаковский!R34</f>
        <v>0</v>
      </c>
      <c r="S15" s="61">
        <f>Доможаковский!S34</f>
        <v>0</v>
      </c>
      <c r="T15" s="61">
        <f>Доможаковский!T34</f>
        <v>0</v>
      </c>
      <c r="U15" s="61">
        <f>Доможаковский!U34</f>
        <v>0</v>
      </c>
      <c r="V15" s="61">
        <f>Доможаковский!V34</f>
        <v>0</v>
      </c>
      <c r="W15" s="61">
        <f>Доможаковский!W34</f>
        <v>0</v>
      </c>
      <c r="X15" s="61">
        <f>Доможаковский!X34</f>
        <v>0</v>
      </c>
    </row>
    <row r="16" spans="1:24" ht="39.75" customHeight="1">
      <c r="A16" s="58">
        <v>4</v>
      </c>
      <c r="B16" s="59" t="s">
        <v>15</v>
      </c>
      <c r="C16" s="59" t="s">
        <v>115</v>
      </c>
      <c r="D16" s="60"/>
      <c r="E16" s="60"/>
      <c r="F16" s="60"/>
      <c r="G16" s="60"/>
      <c r="H16" s="63">
        <f>Калинино!H25</f>
        <v>41449.805</v>
      </c>
      <c r="I16" s="61">
        <f>Калинино!I25</f>
        <v>41449.805</v>
      </c>
      <c r="J16" s="63">
        <f>Калинино!J25</f>
        <v>41449.805</v>
      </c>
      <c r="K16" s="61">
        <f>Калинино!K25</f>
        <v>38419.2416025</v>
      </c>
      <c r="L16" s="61">
        <f>Калинино!L25</f>
        <v>2022.0653475</v>
      </c>
      <c r="M16" s="61">
        <f>Калинино!M25</f>
        <v>408.49805000000003</v>
      </c>
      <c r="N16" s="61">
        <f>Калинино!N25</f>
        <v>600</v>
      </c>
      <c r="O16" s="61">
        <f>Калинино!O25</f>
        <v>0</v>
      </c>
      <c r="P16" s="61">
        <f>Калинино!P25</f>
        <v>0</v>
      </c>
      <c r="Q16" s="61">
        <f>Калинино!Q25</f>
        <v>0</v>
      </c>
      <c r="R16" s="61">
        <f>Калинино!R25</f>
        <v>0</v>
      </c>
      <c r="S16" s="61">
        <f>Калинино!S25</f>
        <v>0</v>
      </c>
      <c r="T16" s="61">
        <f>Калинино!T25</f>
        <v>0</v>
      </c>
      <c r="U16" s="61">
        <f>Калинино!U25</f>
        <v>0</v>
      </c>
      <c r="V16" s="61">
        <f>Калинино!V25</f>
        <v>0</v>
      </c>
      <c r="W16" s="61">
        <f>Калинино!W25</f>
        <v>0</v>
      </c>
      <c r="X16" s="61">
        <f>Калинино!X25</f>
        <v>0</v>
      </c>
    </row>
    <row r="17" spans="1:24" ht="39.75" customHeight="1">
      <c r="A17" s="58">
        <v>5</v>
      </c>
      <c r="B17" s="59" t="s">
        <v>15</v>
      </c>
      <c r="C17" s="59" t="s">
        <v>113</v>
      </c>
      <c r="D17" s="60"/>
      <c r="E17" s="60"/>
      <c r="F17" s="60"/>
      <c r="G17" s="60"/>
      <c r="H17" s="63">
        <f>Московское!H28</f>
        <v>4175.121999999999</v>
      </c>
      <c r="I17" s="61">
        <f>Московское!I28</f>
        <v>4175.121999999999</v>
      </c>
      <c r="J17" s="63">
        <f>Московское!J28</f>
        <v>4175.121999999999</v>
      </c>
      <c r="K17" s="61">
        <f>Московское!K28</f>
        <v>2033.193591</v>
      </c>
      <c r="L17" s="61">
        <f>Московское!L28</f>
        <v>107.010189</v>
      </c>
      <c r="M17" s="61">
        <f>Московское!M28</f>
        <v>21.61822</v>
      </c>
      <c r="N17" s="61">
        <f>Московское!N28</f>
        <v>2013.3</v>
      </c>
      <c r="O17" s="61">
        <f>Московское!O28</f>
        <v>0</v>
      </c>
      <c r="P17" s="61">
        <f>Московское!P28</f>
        <v>0</v>
      </c>
      <c r="Q17" s="61">
        <f>Московское!Q28</f>
        <v>0</v>
      </c>
      <c r="R17" s="61">
        <f>Московское!R28</f>
        <v>0</v>
      </c>
      <c r="S17" s="61">
        <f>Московское!S28</f>
        <v>0</v>
      </c>
      <c r="T17" s="61">
        <f>Московское!T28</f>
        <v>0</v>
      </c>
      <c r="U17" s="61">
        <f>Московское!U28</f>
        <v>0</v>
      </c>
      <c r="V17" s="61">
        <f>Московское!V28</f>
        <v>0</v>
      </c>
      <c r="W17" s="61">
        <f>Московское!W28</f>
        <v>0</v>
      </c>
      <c r="X17" s="61">
        <f>Московское!X28</f>
        <v>0</v>
      </c>
    </row>
    <row r="18" spans="1:24" ht="39.75" customHeight="1">
      <c r="A18" s="58">
        <v>6</v>
      </c>
      <c r="B18" s="59" t="s">
        <v>15</v>
      </c>
      <c r="C18" s="59" t="s">
        <v>120</v>
      </c>
      <c r="D18" s="60"/>
      <c r="E18" s="60"/>
      <c r="F18" s="60"/>
      <c r="G18" s="60"/>
      <c r="H18" s="63">
        <f>Опытное!H26</f>
        <v>3559.764</v>
      </c>
      <c r="I18" s="61">
        <f>Опытное!I26</f>
        <v>3559.764</v>
      </c>
      <c r="J18" s="63">
        <f>Опытное!J26</f>
        <v>3559.764</v>
      </c>
      <c r="K18" s="61">
        <f>Опытное!K26</f>
        <v>2783.658042</v>
      </c>
      <c r="L18" s="61">
        <f>Опытное!L26</f>
        <v>146.508318</v>
      </c>
      <c r="M18" s="61">
        <f>Опытное!M26</f>
        <v>29.59764</v>
      </c>
      <c r="N18" s="61">
        <f>Опытное!N26</f>
        <v>600</v>
      </c>
      <c r="O18" s="61">
        <f>Опытное!O26</f>
        <v>0</v>
      </c>
      <c r="P18" s="61">
        <f>Опытное!P26</f>
        <v>0</v>
      </c>
      <c r="Q18" s="61">
        <f>Опытное!Q26</f>
        <v>0</v>
      </c>
      <c r="R18" s="61">
        <f>Опытное!R26</f>
        <v>0</v>
      </c>
      <c r="S18" s="61">
        <f>Опытное!S26</f>
        <v>0</v>
      </c>
      <c r="T18" s="61">
        <f>Опытное!T26</f>
        <v>0</v>
      </c>
      <c r="U18" s="61">
        <f>Опытное!U26</f>
        <v>0</v>
      </c>
      <c r="V18" s="61">
        <f>Опытное!V26</f>
        <v>0</v>
      </c>
      <c r="W18" s="61">
        <f>Опытное!W26</f>
        <v>0</v>
      </c>
      <c r="X18" s="61">
        <f>Опытное!X26</f>
        <v>0</v>
      </c>
    </row>
    <row r="19" spans="1:24" ht="40.5" customHeight="1">
      <c r="A19" s="58">
        <v>7</v>
      </c>
      <c r="B19" s="59" t="s">
        <v>15</v>
      </c>
      <c r="C19" s="59" t="s">
        <v>117</v>
      </c>
      <c r="D19" s="60"/>
      <c r="E19" s="60"/>
      <c r="F19" s="60"/>
      <c r="G19" s="60"/>
      <c r="H19" s="63">
        <f>Райковский!H23</f>
        <v>6111.067</v>
      </c>
      <c r="I19" s="61">
        <f>Райковский!I23</f>
        <v>6111.067</v>
      </c>
      <c r="J19" s="63">
        <f>Райковский!J23</f>
        <v>6111.067</v>
      </c>
      <c r="K19" s="61">
        <f>Райковский!K23</f>
        <v>2867.2713135</v>
      </c>
      <c r="L19" s="61">
        <f>Райковский!L23</f>
        <v>150.9090165</v>
      </c>
      <c r="M19" s="61">
        <f>Райковский!M23</f>
        <v>30.48667</v>
      </c>
      <c r="N19" s="61">
        <f>Райковский!N23</f>
        <v>3062.4</v>
      </c>
      <c r="O19" s="61">
        <f>Райковский!O23</f>
        <v>0</v>
      </c>
      <c r="P19" s="61">
        <f>Райковский!P23</f>
        <v>0</v>
      </c>
      <c r="Q19" s="61">
        <f>Райковский!Q23</f>
        <v>0</v>
      </c>
      <c r="R19" s="61">
        <f>Райковский!R23</f>
        <v>0</v>
      </c>
      <c r="S19" s="61">
        <f>Райковский!S23</f>
        <v>0</v>
      </c>
      <c r="T19" s="61">
        <f>Райковский!T23</f>
        <v>0</v>
      </c>
      <c r="U19" s="61">
        <f>Райковский!U23</f>
        <v>0</v>
      </c>
      <c r="V19" s="61">
        <f>Райковский!V23</f>
        <v>0</v>
      </c>
      <c r="W19" s="61">
        <f>Райковский!W23</f>
        <v>0</v>
      </c>
      <c r="X19" s="61">
        <f>Райковский!X23</f>
        <v>0</v>
      </c>
    </row>
    <row r="20" spans="1:24" ht="38.25" customHeight="1">
      <c r="A20" s="58">
        <v>8</v>
      </c>
      <c r="B20" s="59" t="s">
        <v>15</v>
      </c>
      <c r="C20" s="59" t="s">
        <v>114</v>
      </c>
      <c r="D20" s="60"/>
      <c r="E20" s="60"/>
      <c r="F20" s="60"/>
      <c r="G20" s="60"/>
      <c r="H20" s="63">
        <f>Расцвет!H28</f>
        <v>52009.166</v>
      </c>
      <c r="I20" s="61">
        <f>Расцвет!I28</f>
        <v>52009.166</v>
      </c>
      <c r="J20" s="63">
        <f>Расцвет!J28</f>
        <v>52009.166</v>
      </c>
      <c r="K20" s="61">
        <f>Расцвет!K28</f>
        <v>47899.364980499995</v>
      </c>
      <c r="L20" s="61">
        <f>Расцвет!L28</f>
        <v>2521.0192094999998</v>
      </c>
      <c r="M20" s="61">
        <f>Расцвет!M28</f>
        <v>509.29681000000005</v>
      </c>
      <c r="N20" s="61">
        <f>Расцвет!N28</f>
        <v>1079.485</v>
      </c>
      <c r="O20" s="61">
        <f>Расцвет!O28</f>
        <v>0</v>
      </c>
      <c r="P20" s="61">
        <f>Расцвет!P28</f>
        <v>0</v>
      </c>
      <c r="Q20" s="61">
        <f>Расцвет!Q28</f>
        <v>0</v>
      </c>
      <c r="R20" s="61">
        <f>Расцвет!R28</f>
        <v>0</v>
      </c>
      <c r="S20" s="61">
        <f>Расцвет!S28</f>
        <v>0</v>
      </c>
      <c r="T20" s="61">
        <f>Расцвет!T28</f>
        <v>0</v>
      </c>
      <c r="U20" s="61">
        <f>Расцвет!U28</f>
        <v>0</v>
      </c>
      <c r="V20" s="61">
        <f>Расцвет!V28</f>
        <v>0</v>
      </c>
      <c r="W20" s="61">
        <f>Расцвет!W28</f>
        <v>0</v>
      </c>
      <c r="X20" s="61">
        <f>Расцвет!X28</f>
        <v>0</v>
      </c>
    </row>
    <row r="21" spans="1:24" ht="37.5" customHeight="1">
      <c r="A21" s="58">
        <v>10</v>
      </c>
      <c r="B21" s="59" t="s">
        <v>15</v>
      </c>
      <c r="C21" s="59" t="s">
        <v>110</v>
      </c>
      <c r="D21" s="60"/>
      <c r="E21" s="60"/>
      <c r="F21" s="60"/>
      <c r="G21" s="60"/>
      <c r="H21" s="63">
        <f>'У-Абакан'!H34</f>
        <v>159806.56876000002</v>
      </c>
      <c r="I21" s="61">
        <f>'У-Абакан'!I34</f>
        <v>159806.56876000002</v>
      </c>
      <c r="J21" s="63">
        <f>'У-Абакан'!J34</f>
        <v>159806.56876000002</v>
      </c>
      <c r="K21" s="61">
        <f>'У-Абакан'!K34</f>
        <v>144184.82791878</v>
      </c>
      <c r="L21" s="61">
        <f>'У-Абакан'!L34</f>
        <v>7588.67515362</v>
      </c>
      <c r="M21" s="61">
        <f>'У-Абакан'!M34</f>
        <v>1533.0656876000005</v>
      </c>
      <c r="N21" s="61">
        <f>'У-Абакан'!N34</f>
        <v>6500</v>
      </c>
      <c r="O21" s="61">
        <f>'У-Абакан'!O34</f>
        <v>0</v>
      </c>
      <c r="P21" s="61">
        <f>'У-Абакан'!P34</f>
        <v>0</v>
      </c>
      <c r="Q21" s="61">
        <f>'У-Абакан'!Q34</f>
        <v>0</v>
      </c>
      <c r="R21" s="61">
        <f>'У-Абакан'!R34</f>
        <v>0</v>
      </c>
      <c r="S21" s="61">
        <f>'У-Абакан'!S34</f>
        <v>0</v>
      </c>
      <c r="T21" s="61">
        <f>'У-Абакан'!T34</f>
        <v>0</v>
      </c>
      <c r="U21" s="61">
        <f>'У-Абакан'!U34</f>
        <v>0</v>
      </c>
      <c r="V21" s="61">
        <f>'У-Абакан'!V34</f>
        <v>0</v>
      </c>
      <c r="W21" s="61">
        <f>'У-Абакан'!W34</f>
        <v>0</v>
      </c>
      <c r="X21" s="61">
        <f>'У-Абакан'!X34</f>
        <v>0</v>
      </c>
    </row>
    <row r="22" spans="1:24" ht="45" customHeight="1">
      <c r="A22" s="58">
        <v>11</v>
      </c>
      <c r="B22" s="59" t="s">
        <v>15</v>
      </c>
      <c r="C22" s="59" t="s">
        <v>145</v>
      </c>
      <c r="D22" s="60"/>
      <c r="E22" s="60"/>
      <c r="F22" s="60"/>
      <c r="G22" s="60"/>
      <c r="H22" s="61">
        <f>'Усть-Бюр'!H28</f>
        <v>9422.688</v>
      </c>
      <c r="I22" s="61">
        <f>'Усть-Бюр'!I28</f>
        <v>9422.688</v>
      </c>
      <c r="J22" s="61">
        <f>'Усть-Бюр'!J28</f>
        <v>9422.688</v>
      </c>
      <c r="K22" s="61">
        <f>'Усть-Бюр'!K28</f>
        <v>8391.788064</v>
      </c>
      <c r="L22" s="61">
        <f>'Усть-Бюр'!L28</f>
        <v>441.67305600000003</v>
      </c>
      <c r="M22" s="61">
        <f>'Усть-Бюр'!M28</f>
        <v>89.22688000000001</v>
      </c>
      <c r="N22" s="61">
        <f>'Усть-Бюр'!N28</f>
        <v>500</v>
      </c>
      <c r="O22" s="61">
        <f>'Усть-Бюр'!O28</f>
        <v>0</v>
      </c>
      <c r="P22" s="61">
        <f>'Усть-Бюр'!P28</f>
        <v>0</v>
      </c>
      <c r="Q22" s="61">
        <f>'Усть-Бюр'!Q28</f>
        <v>0</v>
      </c>
      <c r="R22" s="61">
        <f>'Усть-Бюр'!R28</f>
        <v>0</v>
      </c>
      <c r="S22" s="61">
        <f>'Усть-Бюр'!S28</f>
        <v>0</v>
      </c>
      <c r="T22" s="61">
        <f>'Усть-Бюр'!T28</f>
        <v>0</v>
      </c>
      <c r="U22" s="61">
        <f>'Усть-Бюр'!U28</f>
        <v>0</v>
      </c>
      <c r="V22" s="61">
        <f>'Усть-Бюр'!V28</f>
        <v>0</v>
      </c>
      <c r="W22" s="61">
        <f>'Усть-Бюр'!W28</f>
        <v>0</v>
      </c>
      <c r="X22" s="61">
        <f>'Усть-Бюр'!X28</f>
        <v>0</v>
      </c>
    </row>
    <row r="23" spans="1:24" ht="43.5" customHeight="1">
      <c r="A23" s="58">
        <v>12</v>
      </c>
      <c r="B23" s="59" t="s">
        <v>15</v>
      </c>
      <c r="C23" s="59" t="s">
        <v>118</v>
      </c>
      <c r="D23" s="60"/>
      <c r="E23" s="60"/>
      <c r="F23" s="60"/>
      <c r="G23" s="60"/>
      <c r="H23" s="61">
        <f>Чарки!H30</f>
        <v>8860.846</v>
      </c>
      <c r="I23" s="61">
        <f>Чарки!I30</f>
        <v>8860.846</v>
      </c>
      <c r="J23" s="61">
        <f>Чарки!J30</f>
        <v>8860.846</v>
      </c>
      <c r="K23" s="63">
        <f>Чарки!K30</f>
        <v>7675.275662999999</v>
      </c>
      <c r="L23" s="63">
        <f>Чарки!L30</f>
        <v>403.961877</v>
      </c>
      <c r="M23" s="63">
        <f>Чарки!M30</f>
        <v>81.60846000000001</v>
      </c>
      <c r="N23" s="63">
        <f>Чарки!N30</f>
        <v>700</v>
      </c>
      <c r="O23" s="61">
        <f>Чарки!O30</f>
        <v>0</v>
      </c>
      <c r="P23" s="61">
        <f>Чарки!P30</f>
        <v>0</v>
      </c>
      <c r="Q23" s="61">
        <f>Чарки!Q30</f>
        <v>0</v>
      </c>
      <c r="R23" s="61">
        <f>Чарки!R30</f>
        <v>0</v>
      </c>
      <c r="S23" s="61">
        <f>Чарки!S30</f>
        <v>0</v>
      </c>
      <c r="T23" s="61">
        <f>Чарки!T30</f>
        <v>0</v>
      </c>
      <c r="U23" s="61">
        <f>Чарки!U30</f>
        <v>0</v>
      </c>
      <c r="V23" s="61">
        <f>Чарки!V30</f>
        <v>0</v>
      </c>
      <c r="W23" s="61">
        <f>Чарки!W30</f>
        <v>0</v>
      </c>
      <c r="X23" s="61">
        <f>Чарки!X30</f>
        <v>0</v>
      </c>
    </row>
    <row r="24" spans="1:24" s="67" customFormat="1" ht="32.25" customHeight="1">
      <c r="A24" s="64"/>
      <c r="B24" s="65"/>
      <c r="C24" s="64"/>
      <c r="D24" s="64"/>
      <c r="E24" s="64"/>
      <c r="F24" s="64"/>
      <c r="G24" s="64"/>
      <c r="H24" s="66">
        <f>SUM(H13:H23)</f>
        <v>309136.8597600001</v>
      </c>
      <c r="I24" s="66">
        <f aca="true" t="shared" si="0" ref="I24:X24">SUM(I13:I23)</f>
        <v>309136.8597600001</v>
      </c>
      <c r="J24" s="66">
        <f t="shared" si="0"/>
        <v>309136.8597600001</v>
      </c>
      <c r="K24" s="66">
        <f t="shared" si="0"/>
        <v>274983.08411178004</v>
      </c>
      <c r="L24" s="66">
        <f t="shared" si="0"/>
        <v>14472.793900619998</v>
      </c>
      <c r="M24" s="66">
        <f t="shared" si="0"/>
        <v>2923.796747600001</v>
      </c>
      <c r="N24" s="66">
        <f t="shared" si="0"/>
        <v>16757.185</v>
      </c>
      <c r="O24" s="66">
        <f t="shared" si="0"/>
        <v>0</v>
      </c>
      <c r="P24" s="66">
        <f t="shared" si="0"/>
        <v>0</v>
      </c>
      <c r="Q24" s="66">
        <f t="shared" si="0"/>
        <v>0</v>
      </c>
      <c r="R24" s="66">
        <f t="shared" si="0"/>
        <v>0</v>
      </c>
      <c r="S24" s="66">
        <f t="shared" si="0"/>
        <v>0</v>
      </c>
      <c r="T24" s="66">
        <f t="shared" si="0"/>
        <v>0</v>
      </c>
      <c r="U24" s="66">
        <f t="shared" si="0"/>
        <v>0</v>
      </c>
      <c r="V24" s="66">
        <f t="shared" si="0"/>
        <v>0</v>
      </c>
      <c r="W24" s="66">
        <f t="shared" si="0"/>
        <v>0</v>
      </c>
      <c r="X24" s="66">
        <f t="shared" si="0"/>
        <v>0</v>
      </c>
    </row>
    <row r="25" spans="8:24" ht="13.5"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8:24" ht="13.5" hidden="1">
      <c r="H26" s="69"/>
      <c r="I26" s="69"/>
      <c r="J26" s="69">
        <f>J24+O24+T24</f>
        <v>309136.8597600001</v>
      </c>
      <c r="K26" s="69">
        <f>K24+P24+U24</f>
        <v>274983.08411178004</v>
      </c>
      <c r="L26" s="69">
        <f>L24+Q24+V24</f>
        <v>14472.793900619998</v>
      </c>
      <c r="M26" s="69">
        <f>M24+R24+W24</f>
        <v>2923.796747600001</v>
      </c>
      <c r="N26" s="69">
        <f>N24+S24+X24</f>
        <v>16757.185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8:24" ht="13.5"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31" spans="1:8" ht="18">
      <c r="A31" s="1"/>
      <c r="B31"/>
      <c r="C31"/>
      <c r="D31"/>
      <c r="E31"/>
      <c r="F31"/>
      <c r="G31"/>
      <c r="H31"/>
    </row>
    <row r="32" spans="1:8" ht="18">
      <c r="A32" s="1"/>
      <c r="B32"/>
      <c r="C32"/>
      <c r="D32"/>
      <c r="E32" s="1"/>
      <c r="F32"/>
      <c r="G32"/>
      <c r="H32"/>
    </row>
    <row r="33" spans="1:8" ht="18">
      <c r="A33"/>
      <c r="B33"/>
      <c r="C33" s="1"/>
      <c r="D33"/>
      <c r="E33"/>
      <c r="F33"/>
      <c r="G33"/>
      <c r="H33" s="1"/>
    </row>
    <row r="34" spans="1:8" ht="18">
      <c r="A34" s="1"/>
      <c r="B34"/>
      <c r="C34"/>
      <c r="D34"/>
      <c r="E34"/>
      <c r="F34"/>
      <c r="G34"/>
      <c r="H34"/>
    </row>
  </sheetData>
  <sheetProtection/>
  <mergeCells count="27">
    <mergeCell ref="O9:S9"/>
    <mergeCell ref="P10:S10"/>
    <mergeCell ref="F8:F11"/>
    <mergeCell ref="A1:X1"/>
    <mergeCell ref="A2:X2"/>
    <mergeCell ref="A3:X3"/>
    <mergeCell ref="A4:X4"/>
    <mergeCell ref="A5:X5"/>
    <mergeCell ref="A6:X6"/>
    <mergeCell ref="T8:X8"/>
    <mergeCell ref="J9:N9"/>
    <mergeCell ref="A8:A11"/>
    <mergeCell ref="B8:B11"/>
    <mergeCell ref="C8:C11"/>
    <mergeCell ref="D8:D11"/>
    <mergeCell ref="E8:E11"/>
    <mergeCell ref="K10:N10"/>
    <mergeCell ref="T10:T11"/>
    <mergeCell ref="U10:X10"/>
    <mergeCell ref="G8:G11"/>
    <mergeCell ref="H8:H11"/>
    <mergeCell ref="I8:I11"/>
    <mergeCell ref="J8:N8"/>
    <mergeCell ref="O8:S8"/>
    <mergeCell ref="T9:X9"/>
    <mergeCell ref="J10:J11"/>
    <mergeCell ref="O10:O11"/>
  </mergeCells>
  <hyperlinks>
    <hyperlink ref="A6" r:id="rId1" display="tyjcwt"/>
  </hyperlinks>
  <printOptions/>
  <pageMargins left="0.7" right="0.7" top="0.75" bottom="0.75" header="0.3" footer="0.3"/>
  <pageSetup fitToHeight="1" fitToWidth="1" horizontalDpi="600" verticalDpi="6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8515625" style="280" customWidth="1"/>
    <col min="2" max="2" width="21.28125" style="280" customWidth="1"/>
    <col min="3" max="3" width="34.7109375" style="280" customWidth="1"/>
    <col min="4" max="4" width="16.00390625" style="280" customWidth="1"/>
    <col min="5" max="5" width="14.7109375" style="280" customWidth="1"/>
    <col min="6" max="6" width="25.421875" style="280" customWidth="1"/>
    <col min="7" max="7" width="23.57421875" style="280" customWidth="1"/>
    <col min="8" max="8" width="22.8515625" style="280" customWidth="1"/>
    <col min="9" max="9" width="19.57421875" style="280" customWidth="1"/>
    <col min="10" max="10" width="22.421875" style="280" customWidth="1"/>
    <col min="11" max="11" width="17.8515625" style="280" customWidth="1"/>
    <col min="12" max="16384" width="9.140625" style="280" customWidth="1"/>
  </cols>
  <sheetData>
    <row r="1" spans="1:11" ht="14.25">
      <c r="A1" s="535" t="s">
        <v>259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</row>
    <row r="2" spans="1:11" ht="14.25">
      <c r="A2" s="536" t="s">
        <v>260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1:11" ht="14.25">
      <c r="A3" s="531" t="s">
        <v>261</v>
      </c>
      <c r="B3" s="531" t="s">
        <v>262</v>
      </c>
      <c r="C3" s="531" t="s">
        <v>263</v>
      </c>
      <c r="D3" s="531" t="s">
        <v>264</v>
      </c>
      <c r="E3" s="531"/>
      <c r="F3" s="531"/>
      <c r="G3" s="531"/>
      <c r="H3" s="531"/>
      <c r="I3" s="531"/>
      <c r="J3" s="531"/>
      <c r="K3" s="532" t="s">
        <v>265</v>
      </c>
    </row>
    <row r="4" spans="1:11" ht="72.75" customHeight="1">
      <c r="A4" s="531"/>
      <c r="B4" s="531"/>
      <c r="C4" s="531"/>
      <c r="D4" s="533" t="s">
        <v>266</v>
      </c>
      <c r="E4" s="533" t="s">
        <v>267</v>
      </c>
      <c r="F4" s="533" t="s">
        <v>268</v>
      </c>
      <c r="G4" s="533" t="s">
        <v>269</v>
      </c>
      <c r="H4" s="533" t="s">
        <v>270</v>
      </c>
      <c r="I4" s="533" t="s">
        <v>271</v>
      </c>
      <c r="J4" s="533" t="s">
        <v>272</v>
      </c>
      <c r="K4" s="532"/>
    </row>
    <row r="5" spans="1:11" ht="75" customHeight="1">
      <c r="A5" s="531"/>
      <c r="B5" s="531"/>
      <c r="C5" s="531"/>
      <c r="D5" s="533"/>
      <c r="E5" s="533"/>
      <c r="F5" s="533"/>
      <c r="G5" s="533"/>
      <c r="H5" s="533"/>
      <c r="I5" s="533"/>
      <c r="J5" s="533"/>
      <c r="K5" s="532"/>
    </row>
    <row r="6" spans="1:11" ht="14.25">
      <c r="A6" s="277">
        <v>1</v>
      </c>
      <c r="B6" s="277">
        <v>2</v>
      </c>
      <c r="C6" s="277">
        <v>3</v>
      </c>
      <c r="D6" s="277">
        <v>4</v>
      </c>
      <c r="E6" s="277">
        <v>5</v>
      </c>
      <c r="F6" s="277">
        <v>7</v>
      </c>
      <c r="G6" s="277">
        <v>8</v>
      </c>
      <c r="H6" s="277">
        <v>9</v>
      </c>
      <c r="I6" s="277">
        <v>10</v>
      </c>
      <c r="J6" s="277">
        <v>11</v>
      </c>
      <c r="K6" s="277">
        <v>12</v>
      </c>
    </row>
    <row r="7" spans="1:11" ht="14.25">
      <c r="A7" s="534" t="s">
        <v>273</v>
      </c>
      <c r="B7" s="534"/>
      <c r="C7" s="534"/>
      <c r="D7" s="281">
        <v>8</v>
      </c>
      <c r="E7" s="281">
        <v>6</v>
      </c>
      <c r="F7" s="281">
        <v>7</v>
      </c>
      <c r="G7" s="281">
        <v>10</v>
      </c>
      <c r="H7" s="281">
        <v>8</v>
      </c>
      <c r="I7" s="281">
        <v>10</v>
      </c>
      <c r="J7" s="281">
        <v>10</v>
      </c>
      <c r="K7" s="281" t="s">
        <v>274</v>
      </c>
    </row>
    <row r="8" spans="1:11" ht="39">
      <c r="A8" s="277">
        <v>1</v>
      </c>
      <c r="B8" s="278" t="s">
        <v>62</v>
      </c>
      <c r="C8" s="282" t="s">
        <v>275</v>
      </c>
      <c r="D8" s="283">
        <f>('Бюджетная ЗАЯВКА'!N12)/'Бюджетная ЗАЯВКА'!H12</f>
        <v>0.043424957678036245</v>
      </c>
      <c r="E8" s="277">
        <v>1</v>
      </c>
      <c r="F8" s="286">
        <f>(984+36)/1094</f>
        <v>0.9323583180987203</v>
      </c>
      <c r="G8" s="286">
        <f>320/350</f>
        <v>0.9142857142857143</v>
      </c>
      <c r="H8" s="286">
        <f>623/1094</f>
        <v>0.5694698354661791</v>
      </c>
      <c r="I8" s="286">
        <v>0.02</v>
      </c>
      <c r="J8" s="286">
        <v>0.65</v>
      </c>
      <c r="K8" s="279">
        <f>E8*$E$7+F8*$F$7+G8*$G$7+H8*$H$7+I8*$I$7+J8*$J$7</f>
        <v>32.925124053277614</v>
      </c>
    </row>
    <row r="9" spans="1:11" ht="41.25" customHeight="1">
      <c r="A9" s="277">
        <v>2</v>
      </c>
      <c r="B9" s="278" t="s">
        <v>62</v>
      </c>
      <c r="C9" s="282" t="s">
        <v>276</v>
      </c>
      <c r="D9" s="283">
        <f>('Бюджетная ЗАЯВКА'!N13)/'Бюджетная ЗАЯВКА'!H13</f>
        <v>0.1919849045012232</v>
      </c>
      <c r="E9" s="277">
        <v>1</v>
      </c>
      <c r="F9" s="286">
        <f>(685+123+12+16)/1544</f>
        <v>0.5414507772020726</v>
      </c>
      <c r="G9" s="286">
        <f>154/330</f>
        <v>0.4666666666666667</v>
      </c>
      <c r="H9" s="286">
        <f>294/616</f>
        <v>0.4772727272727273</v>
      </c>
      <c r="I9" s="286">
        <v>0.04</v>
      </c>
      <c r="J9" s="286">
        <v>0.65</v>
      </c>
      <c r="K9" s="279">
        <f aca="true" t="shared" si="0" ref="K9:K18">E9*$E$7+F9*$F$7+G9*$G$7+H9*$H$7+I9*$I$7+J9*$J$7</f>
        <v>25.175003925262992</v>
      </c>
    </row>
    <row r="10" spans="1:11" ht="39">
      <c r="A10" s="277">
        <v>3</v>
      </c>
      <c r="B10" s="278" t="s">
        <v>62</v>
      </c>
      <c r="C10" s="282" t="s">
        <v>153</v>
      </c>
      <c r="D10" s="283">
        <v>0.041</v>
      </c>
      <c r="E10" s="277">
        <v>1</v>
      </c>
      <c r="F10" s="286">
        <f>(759+16+91+135+118+13)/1544</f>
        <v>0.7331606217616581</v>
      </c>
      <c r="G10" s="286">
        <f>405/701</f>
        <v>0.5777460770328102</v>
      </c>
      <c r="H10" s="286">
        <f>800/1544</f>
        <v>0.5181347150259067</v>
      </c>
      <c r="I10" s="286">
        <v>0.01</v>
      </c>
      <c r="J10" s="286">
        <v>0.65</v>
      </c>
      <c r="K10" s="279">
        <f t="shared" si="0"/>
        <v>27.654662842866966</v>
      </c>
    </row>
    <row r="11" spans="1:11" ht="39">
      <c r="A11" s="277">
        <v>4</v>
      </c>
      <c r="B11" s="278" t="s">
        <v>62</v>
      </c>
      <c r="C11" s="282" t="s">
        <v>154</v>
      </c>
      <c r="D11" s="283">
        <f>('Бюджетная ЗАЯВКА'!N15)/'Бюджетная ЗАЯВКА'!H15</f>
        <v>0.01447533951004112</v>
      </c>
      <c r="E11" s="277">
        <v>1</v>
      </c>
      <c r="F11" s="286">
        <f>(3135+1650)/7242</f>
        <v>0.6607290803645401</v>
      </c>
      <c r="G11" s="286">
        <f>3812/3829</f>
        <v>0.9955601984852442</v>
      </c>
      <c r="H11" s="286">
        <f>4084/7242</f>
        <v>0.563932615299641</v>
      </c>
      <c r="I11" s="286">
        <v>0.03</v>
      </c>
      <c r="J11" s="286">
        <v>0.65</v>
      </c>
      <c r="K11" s="279">
        <f t="shared" si="0"/>
        <v>31.892166469801353</v>
      </c>
    </row>
    <row r="12" spans="1:11" ht="39">
      <c r="A12" s="277">
        <v>5</v>
      </c>
      <c r="B12" s="278" t="s">
        <v>62</v>
      </c>
      <c r="C12" s="282" t="s">
        <v>155</v>
      </c>
      <c r="D12" s="283">
        <f>('Бюджетная ЗАЯВКА'!N16)/'Бюджетная ЗАЯВКА'!H16</f>
        <v>0.4822134538823058</v>
      </c>
      <c r="E12" s="277">
        <v>1</v>
      </c>
      <c r="F12" s="286">
        <f>(970+130+113)/1366</f>
        <v>0.8879941434846267</v>
      </c>
      <c r="G12" s="286">
        <f>537/744</f>
        <v>0.7217741935483871</v>
      </c>
      <c r="H12" s="286">
        <f>996/1366</f>
        <v>0.7291361639824304</v>
      </c>
      <c r="I12" s="286">
        <v>0.065</v>
      </c>
      <c r="J12" s="286">
        <v>0.65</v>
      </c>
      <c r="K12" s="279">
        <f t="shared" si="0"/>
        <v>32.4167902517357</v>
      </c>
    </row>
    <row r="13" spans="1:11" ht="39">
      <c r="A13" s="277">
        <v>6</v>
      </c>
      <c r="B13" s="278" t="s">
        <v>62</v>
      </c>
      <c r="C13" s="282" t="s">
        <v>277</v>
      </c>
      <c r="D13" s="283">
        <f>('Бюджетная ЗАЯВКА'!N17)/'Бюджетная ЗАЯВКА'!H17</f>
        <v>0.16855049941512976</v>
      </c>
      <c r="E13" s="277">
        <v>1</v>
      </c>
      <c r="F13" s="286">
        <f>(1204+66)/1566</f>
        <v>0.8109833971902938</v>
      </c>
      <c r="G13" s="286">
        <f>369/560</f>
        <v>0.6589285714285714</v>
      </c>
      <c r="H13" s="286">
        <f>596/1566</f>
        <v>0.38058748403575987</v>
      </c>
      <c r="I13" s="286">
        <v>0.02</v>
      </c>
      <c r="J13" s="286">
        <v>0.65</v>
      </c>
      <c r="K13" s="279">
        <f t="shared" si="0"/>
        <v>28.010869366903847</v>
      </c>
    </row>
    <row r="14" spans="1:11" ht="39">
      <c r="A14" s="277">
        <v>7</v>
      </c>
      <c r="B14" s="278" t="s">
        <v>62</v>
      </c>
      <c r="C14" s="282" t="s">
        <v>278</v>
      </c>
      <c r="D14" s="283">
        <f>('Бюджетная ЗАЯВКА'!N18)/'Бюджетная ЗАЯВКА'!H18</f>
        <v>0.5011236172013823</v>
      </c>
      <c r="E14" s="277">
        <v>1</v>
      </c>
      <c r="F14" s="286">
        <f>(1174+65+85+132+67)/1954</f>
        <v>0.7794268167860798</v>
      </c>
      <c r="G14" s="286">
        <f>1232/1414</f>
        <v>0.8712871287128713</v>
      </c>
      <c r="H14" s="286">
        <f>1200/1954</f>
        <v>0.6141248720573184</v>
      </c>
      <c r="I14" s="286">
        <v>0.02</v>
      </c>
      <c r="J14" s="286">
        <v>0.65</v>
      </c>
      <c r="K14" s="279">
        <f t="shared" si="0"/>
        <v>31.781857981089818</v>
      </c>
    </row>
    <row r="15" spans="1:11" ht="39">
      <c r="A15" s="277">
        <v>8</v>
      </c>
      <c r="B15" s="278" t="s">
        <v>62</v>
      </c>
      <c r="C15" s="282" t="s">
        <v>158</v>
      </c>
      <c r="D15" s="283">
        <f>('Бюджетная ЗАЯВКА'!N19)/'Бюджетная ЗАЯВКА'!H19</f>
        <v>0.02075566833738499</v>
      </c>
      <c r="E15" s="277">
        <v>1</v>
      </c>
      <c r="F15" s="286">
        <f>(1168+1504)/3420</f>
        <v>0.7812865497076024</v>
      </c>
      <c r="G15" s="286">
        <f>1328/1390</f>
        <v>0.9553956834532374</v>
      </c>
      <c r="H15" s="286">
        <f>1755/3420</f>
        <v>0.5131578947368421</v>
      </c>
      <c r="I15" s="286">
        <v>0.002</v>
      </c>
      <c r="J15" s="286">
        <v>0.65</v>
      </c>
      <c r="K15" s="279">
        <f t="shared" si="0"/>
        <v>31.648225840380327</v>
      </c>
    </row>
    <row r="16" spans="1:11" ht="39">
      <c r="A16" s="277">
        <v>9</v>
      </c>
      <c r="B16" s="278" t="s">
        <v>62</v>
      </c>
      <c r="C16" s="282" t="s">
        <v>159</v>
      </c>
      <c r="D16" s="283">
        <f>('Бюджетная ЗАЯВКА'!N20)/'Бюджетная ЗАЯВКА'!H20</f>
        <v>0.04067417284806234</v>
      </c>
      <c r="E16" s="277">
        <v>1</v>
      </c>
      <c r="F16" s="286">
        <f>11977/15327</f>
        <v>0.7814314608207737</v>
      </c>
      <c r="G16" s="286">
        <f>5820/6635</f>
        <v>0.8771665410700829</v>
      </c>
      <c r="H16" s="286">
        <f>5895/15327</f>
        <v>0.38461538461538464</v>
      </c>
      <c r="I16" s="286">
        <v>0.01</v>
      </c>
      <c r="J16" s="286">
        <v>1</v>
      </c>
      <c r="K16" s="279">
        <f t="shared" si="0"/>
        <v>33.41860871336932</v>
      </c>
    </row>
    <row r="17" spans="1:11" ht="39">
      <c r="A17" s="277">
        <v>10</v>
      </c>
      <c r="B17" s="278" t="s">
        <v>62</v>
      </c>
      <c r="C17" s="282" t="s">
        <v>279</v>
      </c>
      <c r="D17" s="283">
        <f>('Бюджетная ЗАЯВКА'!N21)/'Бюджетная ЗАЯВКА'!H21</f>
        <v>0.05306341460101406</v>
      </c>
      <c r="E17" s="277">
        <v>1</v>
      </c>
      <c r="F17" s="286">
        <f>1365/1903</f>
        <v>0.7172884918549658</v>
      </c>
      <c r="G17" s="286">
        <f>685/720</f>
        <v>0.9513888888888888</v>
      </c>
      <c r="H17" s="286">
        <f>948/1903</f>
        <v>0.4981607987388334</v>
      </c>
      <c r="I17" s="286">
        <v>0.05</v>
      </c>
      <c r="J17" s="286">
        <v>0.65</v>
      </c>
      <c r="K17" s="279">
        <f t="shared" si="0"/>
        <v>31.520194721784318</v>
      </c>
    </row>
    <row r="18" spans="1:11" ht="39">
      <c r="A18" s="277">
        <v>11</v>
      </c>
      <c r="B18" s="278" t="s">
        <v>62</v>
      </c>
      <c r="C18" s="282" t="s">
        <v>161</v>
      </c>
      <c r="D18" s="283">
        <f>('Бюджетная ЗАЯВКА'!N22)/'Бюджетная ЗАЯВКА'!H22</f>
        <v>0.0789992287418154</v>
      </c>
      <c r="E18" s="277">
        <v>1</v>
      </c>
      <c r="F18" s="286">
        <f>(904+43+67+16+65)/1090</f>
        <v>1.0045871559633028</v>
      </c>
      <c r="G18" s="286">
        <f>368/572</f>
        <v>0.6433566433566433</v>
      </c>
      <c r="H18" s="286">
        <f>709/1090</f>
        <v>0.6504587155963303</v>
      </c>
      <c r="I18" s="286">
        <v>0.004</v>
      </c>
      <c r="J18" s="286">
        <v>0.65</v>
      </c>
      <c r="K18" s="279">
        <f t="shared" si="0"/>
        <v>31.209346250080195</v>
      </c>
    </row>
  </sheetData>
  <sheetProtection/>
  <mergeCells count="15">
    <mergeCell ref="A7:C7"/>
    <mergeCell ref="A1:K1"/>
    <mergeCell ref="A2:K2"/>
    <mergeCell ref="A3:A5"/>
    <mergeCell ref="B3:B5"/>
    <mergeCell ref="C3:C5"/>
    <mergeCell ref="D3:J3"/>
    <mergeCell ref="K3:K5"/>
    <mergeCell ref="D4:D5"/>
    <mergeCell ref="E4:E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C1">
      <selection activeCell="F17" sqref="F17"/>
    </sheetView>
  </sheetViews>
  <sheetFormatPr defaultColWidth="9.140625" defaultRowHeight="15"/>
  <cols>
    <col min="1" max="1" width="4.8515625" style="280" customWidth="1"/>
    <col min="2" max="2" width="21.28125" style="280" customWidth="1"/>
    <col min="3" max="3" width="34.7109375" style="280" customWidth="1"/>
    <col min="4" max="4" width="16.00390625" style="280" customWidth="1"/>
    <col min="5" max="5" width="14.7109375" style="280" customWidth="1"/>
    <col min="6" max="6" width="25.421875" style="280" customWidth="1"/>
    <col min="7" max="7" width="23.57421875" style="280" customWidth="1"/>
    <col min="8" max="8" width="22.8515625" style="280" customWidth="1"/>
    <col min="9" max="9" width="19.57421875" style="280" customWidth="1"/>
    <col min="10" max="10" width="22.421875" style="280" customWidth="1"/>
    <col min="11" max="11" width="17.8515625" style="280" customWidth="1"/>
    <col min="12" max="16384" width="9.140625" style="280" customWidth="1"/>
  </cols>
  <sheetData>
    <row r="1" spans="1:11" ht="14.25">
      <c r="A1" s="535" t="s">
        <v>259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</row>
    <row r="2" spans="1:11" ht="14.25">
      <c r="A2" s="536" t="s">
        <v>260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1:11" ht="14.25">
      <c r="A3" s="531" t="s">
        <v>261</v>
      </c>
      <c r="B3" s="531" t="s">
        <v>262</v>
      </c>
      <c r="C3" s="531" t="s">
        <v>263</v>
      </c>
      <c r="D3" s="531" t="s">
        <v>264</v>
      </c>
      <c r="E3" s="531"/>
      <c r="F3" s="531"/>
      <c r="G3" s="531"/>
      <c r="H3" s="531"/>
      <c r="I3" s="531"/>
      <c r="J3" s="531"/>
      <c r="K3" s="532" t="s">
        <v>265</v>
      </c>
    </row>
    <row r="4" spans="1:11" ht="72.75" customHeight="1">
      <c r="A4" s="531"/>
      <c r="B4" s="531"/>
      <c r="C4" s="531"/>
      <c r="D4" s="533" t="s">
        <v>266</v>
      </c>
      <c r="E4" s="533" t="s">
        <v>267</v>
      </c>
      <c r="F4" s="533" t="s">
        <v>268</v>
      </c>
      <c r="G4" s="533" t="s">
        <v>269</v>
      </c>
      <c r="H4" s="533" t="s">
        <v>270</v>
      </c>
      <c r="I4" s="533" t="s">
        <v>271</v>
      </c>
      <c r="J4" s="533" t="s">
        <v>272</v>
      </c>
      <c r="K4" s="532"/>
    </row>
    <row r="5" spans="1:11" ht="75" customHeight="1">
      <c r="A5" s="531"/>
      <c r="B5" s="531"/>
      <c r="C5" s="531"/>
      <c r="D5" s="533"/>
      <c r="E5" s="533"/>
      <c r="F5" s="533"/>
      <c r="G5" s="533"/>
      <c r="H5" s="533"/>
      <c r="I5" s="533"/>
      <c r="J5" s="533"/>
      <c r="K5" s="532"/>
    </row>
    <row r="6" spans="1:11" ht="14.25">
      <c r="A6" s="285">
        <v>1</v>
      </c>
      <c r="B6" s="285">
        <v>2</v>
      </c>
      <c r="C6" s="285">
        <v>3</v>
      </c>
      <c r="D6" s="285">
        <v>4</v>
      </c>
      <c r="E6" s="285">
        <v>5</v>
      </c>
      <c r="F6" s="285">
        <v>7</v>
      </c>
      <c r="G6" s="285">
        <v>8</v>
      </c>
      <c r="H6" s="285">
        <v>9</v>
      </c>
      <c r="I6" s="285">
        <v>10</v>
      </c>
      <c r="J6" s="285">
        <v>11</v>
      </c>
      <c r="K6" s="285">
        <v>12</v>
      </c>
    </row>
    <row r="7" spans="1:11" ht="14.25">
      <c r="A7" s="534" t="s">
        <v>273</v>
      </c>
      <c r="B7" s="534"/>
      <c r="C7" s="534"/>
      <c r="D7" s="284">
        <v>8</v>
      </c>
      <c r="E7" s="284">
        <v>6</v>
      </c>
      <c r="F7" s="284">
        <v>7</v>
      </c>
      <c r="G7" s="284">
        <v>10</v>
      </c>
      <c r="H7" s="284">
        <v>8</v>
      </c>
      <c r="I7" s="284">
        <v>10</v>
      </c>
      <c r="J7" s="284">
        <v>10</v>
      </c>
      <c r="K7" s="284" t="s">
        <v>274</v>
      </c>
    </row>
    <row r="8" spans="1:11" ht="39">
      <c r="A8" s="285">
        <v>1</v>
      </c>
      <c r="B8" s="278" t="s">
        <v>62</v>
      </c>
      <c r="C8" s="282" t="s">
        <v>275</v>
      </c>
      <c r="D8" s="283">
        <v>5</v>
      </c>
      <c r="E8" s="285">
        <v>9</v>
      </c>
      <c r="F8" s="286">
        <v>9</v>
      </c>
      <c r="G8" s="286">
        <v>9</v>
      </c>
      <c r="H8" s="286">
        <v>7</v>
      </c>
      <c r="I8" s="286">
        <v>1</v>
      </c>
      <c r="J8" s="286">
        <v>0.65</v>
      </c>
      <c r="K8" s="279">
        <f>E8*$E$7+F8*$F$7+G8*$G$7+H8*$H$7+I8*$I$7+J8*$J$7</f>
        <v>279.5</v>
      </c>
    </row>
    <row r="9" spans="1:11" ht="41.25" customHeight="1">
      <c r="A9" s="285">
        <v>2</v>
      </c>
      <c r="B9" s="278" t="s">
        <v>62</v>
      </c>
      <c r="C9" s="282" t="s">
        <v>276</v>
      </c>
      <c r="D9" s="283">
        <v>10</v>
      </c>
      <c r="E9" s="285">
        <v>9</v>
      </c>
      <c r="F9" s="286">
        <v>5</v>
      </c>
      <c r="G9" s="286">
        <v>5</v>
      </c>
      <c r="H9" s="286">
        <v>5</v>
      </c>
      <c r="I9" s="286">
        <v>1</v>
      </c>
      <c r="J9" s="286">
        <v>0.65</v>
      </c>
      <c r="K9" s="279">
        <f aca="true" t="shared" si="0" ref="K9:K18">E9*$E$7+F9*$F$7+G9*$G$7+H9*$H$7+I9*$I$7+J9*$J$7</f>
        <v>195.5</v>
      </c>
    </row>
    <row r="10" spans="1:11" ht="39">
      <c r="A10" s="285">
        <v>3</v>
      </c>
      <c r="B10" s="278" t="s">
        <v>62</v>
      </c>
      <c r="C10" s="282" t="s">
        <v>153</v>
      </c>
      <c r="D10" s="283">
        <v>5</v>
      </c>
      <c r="E10" s="285">
        <v>9</v>
      </c>
      <c r="F10" s="286">
        <v>7</v>
      </c>
      <c r="G10" s="286">
        <v>7</v>
      </c>
      <c r="H10" s="286">
        <v>7</v>
      </c>
      <c r="I10" s="286">
        <v>1</v>
      </c>
      <c r="J10" s="286">
        <v>0.65</v>
      </c>
      <c r="K10" s="279">
        <f t="shared" si="0"/>
        <v>245.5</v>
      </c>
    </row>
    <row r="11" spans="1:11" ht="39">
      <c r="A11" s="285">
        <v>4</v>
      </c>
      <c r="B11" s="278" t="s">
        <v>62</v>
      </c>
      <c r="C11" s="282" t="s">
        <v>154</v>
      </c>
      <c r="D11" s="283">
        <v>3</v>
      </c>
      <c r="E11" s="285">
        <v>9</v>
      </c>
      <c r="F11" s="286">
        <v>7</v>
      </c>
      <c r="G11" s="286">
        <v>9</v>
      </c>
      <c r="H11" s="286">
        <v>7</v>
      </c>
      <c r="I11" s="286">
        <v>1</v>
      </c>
      <c r="J11" s="286">
        <v>0.65</v>
      </c>
      <c r="K11" s="279">
        <f t="shared" si="0"/>
        <v>265.5</v>
      </c>
    </row>
    <row r="12" spans="1:11" ht="39">
      <c r="A12" s="285">
        <v>5</v>
      </c>
      <c r="B12" s="278" t="s">
        <v>62</v>
      </c>
      <c r="C12" s="282" t="s">
        <v>155</v>
      </c>
      <c r="D12" s="283">
        <v>10</v>
      </c>
      <c r="E12" s="285">
        <v>9</v>
      </c>
      <c r="F12" s="286">
        <v>9</v>
      </c>
      <c r="G12" s="286">
        <v>9</v>
      </c>
      <c r="H12" s="286">
        <v>9</v>
      </c>
      <c r="I12" s="286">
        <v>1</v>
      </c>
      <c r="J12" s="286">
        <v>0.65</v>
      </c>
      <c r="K12" s="279">
        <f t="shared" si="0"/>
        <v>295.5</v>
      </c>
    </row>
    <row r="13" spans="1:11" ht="39">
      <c r="A13" s="285">
        <v>6</v>
      </c>
      <c r="B13" s="278" t="s">
        <v>62</v>
      </c>
      <c r="C13" s="282" t="s">
        <v>277</v>
      </c>
      <c r="D13" s="283">
        <v>10</v>
      </c>
      <c r="E13" s="285">
        <v>9</v>
      </c>
      <c r="F13" s="286">
        <v>9</v>
      </c>
      <c r="G13" s="286">
        <v>7</v>
      </c>
      <c r="H13" s="286">
        <v>5</v>
      </c>
      <c r="I13" s="286">
        <v>1</v>
      </c>
      <c r="J13" s="286">
        <v>0.65</v>
      </c>
      <c r="K13" s="279">
        <f t="shared" si="0"/>
        <v>243.5</v>
      </c>
    </row>
    <row r="14" spans="1:11" ht="39">
      <c r="A14" s="285">
        <v>7</v>
      </c>
      <c r="B14" s="278" t="s">
        <v>62</v>
      </c>
      <c r="C14" s="282" t="s">
        <v>278</v>
      </c>
      <c r="D14" s="283">
        <v>10</v>
      </c>
      <c r="E14" s="285">
        <v>9</v>
      </c>
      <c r="F14" s="286">
        <v>7</v>
      </c>
      <c r="G14" s="286">
        <v>9</v>
      </c>
      <c r="H14" s="286">
        <v>7</v>
      </c>
      <c r="I14" s="286">
        <v>1</v>
      </c>
      <c r="J14" s="286">
        <v>0.65</v>
      </c>
      <c r="K14" s="279">
        <f t="shared" si="0"/>
        <v>265.5</v>
      </c>
    </row>
    <row r="15" spans="1:11" ht="39">
      <c r="A15" s="285">
        <v>8</v>
      </c>
      <c r="B15" s="278" t="s">
        <v>62</v>
      </c>
      <c r="C15" s="282" t="s">
        <v>158</v>
      </c>
      <c r="D15" s="283">
        <v>3</v>
      </c>
      <c r="E15" s="285">
        <v>9</v>
      </c>
      <c r="F15" s="286">
        <v>7</v>
      </c>
      <c r="G15" s="286">
        <v>9</v>
      </c>
      <c r="H15" s="286">
        <v>7</v>
      </c>
      <c r="I15" s="286">
        <v>1</v>
      </c>
      <c r="J15" s="286">
        <v>0.65</v>
      </c>
      <c r="K15" s="279">
        <f t="shared" si="0"/>
        <v>265.5</v>
      </c>
    </row>
    <row r="16" spans="1:11" ht="39">
      <c r="A16" s="285">
        <v>9</v>
      </c>
      <c r="B16" s="278" t="s">
        <v>62</v>
      </c>
      <c r="C16" s="282" t="s">
        <v>159</v>
      </c>
      <c r="D16" s="283">
        <v>5</v>
      </c>
      <c r="E16" s="285">
        <v>9</v>
      </c>
      <c r="F16" s="286">
        <v>7</v>
      </c>
      <c r="G16" s="286">
        <v>9</v>
      </c>
      <c r="H16" s="286">
        <v>5</v>
      </c>
      <c r="I16" s="286">
        <v>1</v>
      </c>
      <c r="J16" s="286">
        <v>1</v>
      </c>
      <c r="K16" s="279">
        <f t="shared" si="0"/>
        <v>253</v>
      </c>
    </row>
    <row r="17" spans="1:11" ht="39">
      <c r="A17" s="285">
        <v>10</v>
      </c>
      <c r="B17" s="278" t="s">
        <v>62</v>
      </c>
      <c r="C17" s="282" t="s">
        <v>279</v>
      </c>
      <c r="D17" s="283">
        <v>3</v>
      </c>
      <c r="E17" s="285">
        <v>9</v>
      </c>
      <c r="F17" s="286">
        <v>7</v>
      </c>
      <c r="G17" s="286">
        <v>9</v>
      </c>
      <c r="H17" s="286">
        <v>5</v>
      </c>
      <c r="I17" s="286">
        <v>1</v>
      </c>
      <c r="J17" s="286">
        <v>0.65</v>
      </c>
      <c r="K17" s="279">
        <f t="shared" si="0"/>
        <v>249.5</v>
      </c>
    </row>
    <row r="18" spans="1:11" ht="39">
      <c r="A18" s="285">
        <v>11</v>
      </c>
      <c r="B18" s="278" t="s">
        <v>62</v>
      </c>
      <c r="C18" s="282" t="s">
        <v>161</v>
      </c>
      <c r="D18" s="283">
        <v>3</v>
      </c>
      <c r="E18" s="285">
        <v>9</v>
      </c>
      <c r="F18" s="286">
        <v>10</v>
      </c>
      <c r="G18" s="286">
        <v>7</v>
      </c>
      <c r="H18" s="286">
        <v>7</v>
      </c>
      <c r="I18" s="286">
        <v>1</v>
      </c>
      <c r="J18" s="286">
        <v>0.65</v>
      </c>
      <c r="K18" s="279">
        <f t="shared" si="0"/>
        <v>266.5</v>
      </c>
    </row>
  </sheetData>
  <sheetProtection/>
  <mergeCells count="15">
    <mergeCell ref="G4:G5"/>
    <mergeCell ref="H4:H5"/>
    <mergeCell ref="I4:I5"/>
    <mergeCell ref="J4:J5"/>
    <mergeCell ref="A7:C7"/>
    <mergeCell ref="A1:K1"/>
    <mergeCell ref="A2:K2"/>
    <mergeCell ref="A3:A5"/>
    <mergeCell ref="B3:B5"/>
    <mergeCell ref="C3:C5"/>
    <mergeCell ref="D3:J3"/>
    <mergeCell ref="K3:K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SheetLayoutView="100" zoomScalePageLayoutView="0" workbookViewId="0" topLeftCell="A25">
      <selection activeCell="A32" sqref="A32"/>
    </sheetView>
  </sheetViews>
  <sheetFormatPr defaultColWidth="9.140625" defaultRowHeight="15"/>
  <cols>
    <col min="1" max="1" width="5.8515625" style="103" customWidth="1"/>
    <col min="2" max="2" width="17.421875" style="81" customWidth="1"/>
    <col min="3" max="3" width="16.7109375" style="81" customWidth="1"/>
    <col min="4" max="4" width="20.7109375" style="123" customWidth="1"/>
    <col min="5" max="5" width="14.140625" style="81" customWidth="1"/>
    <col min="6" max="6" width="18.8515625" style="124" customWidth="1"/>
    <col min="7" max="7" width="13.140625" style="103" customWidth="1"/>
    <col min="8" max="9" width="12.00390625" style="81" customWidth="1"/>
    <col min="10" max="10" width="10.7109375" style="125" customWidth="1"/>
    <col min="11" max="11" width="9.421875" style="81" customWidth="1"/>
    <col min="12" max="12" width="9.00390625" style="81" customWidth="1"/>
    <col min="13" max="13" width="10.421875" style="81" customWidth="1"/>
    <col min="14" max="14" width="9.57421875" style="81" customWidth="1"/>
    <col min="15" max="15" width="9.421875" style="125" customWidth="1"/>
    <col min="16" max="16" width="8.7109375" style="81" customWidth="1"/>
    <col min="17" max="17" width="9.28125" style="81" customWidth="1"/>
    <col min="18" max="18" width="9.421875" style="81" customWidth="1"/>
    <col min="19" max="19" width="8.140625" style="81" customWidth="1"/>
    <col min="20" max="20" width="10.7109375" style="125" customWidth="1"/>
    <col min="21" max="21" width="12.140625" style="81" customWidth="1"/>
    <col min="22" max="22" width="10.421875" style="81" customWidth="1"/>
    <col min="23" max="23" width="9.57421875" style="81" customWidth="1"/>
    <col min="24" max="24" width="9.421875" style="81" customWidth="1"/>
    <col min="25" max="16384" width="9.140625" style="81" customWidth="1"/>
  </cols>
  <sheetData>
    <row r="1" spans="1:24" s="102" customFormat="1" ht="19.5" customHeight="1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24" s="102" customFormat="1" ht="19.5" customHeight="1">
      <c r="A2" s="356" t="s">
        <v>78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</row>
    <row r="3" spans="1:24" s="102" customFormat="1" ht="13.5" customHeight="1">
      <c r="A3" s="364" t="s">
        <v>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</row>
    <row r="4" spans="1:24" s="102" customFormat="1" ht="17.25" customHeight="1">
      <c r="A4" s="356" t="s">
        <v>62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</row>
    <row r="5" spans="1:24" s="104" customFormat="1" ht="15">
      <c r="A5" s="354" t="s">
        <v>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</row>
    <row r="6" spans="1:24" s="104" customFormat="1" ht="24" customHeight="1">
      <c r="A6" s="355" t="s">
        <v>25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</row>
    <row r="7" spans="1:24" s="104" customFormat="1" ht="13.5" customHeight="1">
      <c r="A7" s="105"/>
      <c r="B7" s="105"/>
      <c r="C7" s="105"/>
      <c r="D7" s="106"/>
      <c r="E7" s="105"/>
      <c r="F7" s="107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s="26" customFormat="1" ht="37.5" customHeight="1">
      <c r="A8" s="348" t="s">
        <v>57</v>
      </c>
      <c r="B8" s="348" t="s">
        <v>70</v>
      </c>
      <c r="C8" s="348" t="s">
        <v>3</v>
      </c>
      <c r="D8" s="358" t="s">
        <v>55</v>
      </c>
      <c r="E8" s="348" t="s">
        <v>4</v>
      </c>
      <c r="F8" s="350" t="s">
        <v>54</v>
      </c>
      <c r="G8" s="348" t="s">
        <v>53</v>
      </c>
      <c r="H8" s="342" t="s">
        <v>52</v>
      </c>
      <c r="I8" s="342" t="s">
        <v>20</v>
      </c>
      <c r="J8" s="342" t="s">
        <v>5</v>
      </c>
      <c r="K8" s="343"/>
      <c r="L8" s="343"/>
      <c r="M8" s="343"/>
      <c r="N8" s="343"/>
      <c r="O8" s="342" t="s">
        <v>5</v>
      </c>
      <c r="P8" s="343"/>
      <c r="Q8" s="343"/>
      <c r="R8" s="343"/>
      <c r="S8" s="343"/>
      <c r="T8" s="342" t="s">
        <v>5</v>
      </c>
      <c r="U8" s="343"/>
      <c r="V8" s="343"/>
      <c r="W8" s="343"/>
      <c r="X8" s="343"/>
    </row>
    <row r="9" spans="1:24" s="26" customFormat="1" ht="27.75" customHeight="1">
      <c r="A9" s="349"/>
      <c r="B9" s="349"/>
      <c r="C9" s="349"/>
      <c r="D9" s="359"/>
      <c r="E9" s="349"/>
      <c r="F9" s="351"/>
      <c r="G9" s="349"/>
      <c r="H9" s="343"/>
      <c r="I9" s="343"/>
      <c r="J9" s="342" t="s">
        <v>6</v>
      </c>
      <c r="K9" s="343"/>
      <c r="L9" s="343"/>
      <c r="M9" s="343"/>
      <c r="N9" s="343"/>
      <c r="O9" s="342" t="s">
        <v>7</v>
      </c>
      <c r="P9" s="343"/>
      <c r="Q9" s="343"/>
      <c r="R9" s="343"/>
      <c r="S9" s="343"/>
      <c r="T9" s="342" t="s">
        <v>51</v>
      </c>
      <c r="U9" s="343"/>
      <c r="V9" s="343"/>
      <c r="W9" s="343"/>
      <c r="X9" s="343"/>
    </row>
    <row r="10" spans="1:24" s="26" customFormat="1" ht="30" customHeight="1">
      <c r="A10" s="349"/>
      <c r="B10" s="349"/>
      <c r="C10" s="349"/>
      <c r="D10" s="359"/>
      <c r="E10" s="349"/>
      <c r="F10" s="351"/>
      <c r="G10" s="349"/>
      <c r="H10" s="343"/>
      <c r="I10" s="343"/>
      <c r="J10" s="342" t="s">
        <v>8</v>
      </c>
      <c r="K10" s="342" t="s">
        <v>9</v>
      </c>
      <c r="L10" s="343"/>
      <c r="M10" s="343"/>
      <c r="N10" s="343"/>
      <c r="O10" s="342" t="s">
        <v>8</v>
      </c>
      <c r="P10" s="342" t="s">
        <v>9</v>
      </c>
      <c r="Q10" s="343"/>
      <c r="R10" s="343"/>
      <c r="S10" s="343"/>
      <c r="T10" s="342" t="s">
        <v>8</v>
      </c>
      <c r="U10" s="342" t="s">
        <v>10</v>
      </c>
      <c r="V10" s="343"/>
      <c r="W10" s="343"/>
      <c r="X10" s="343"/>
    </row>
    <row r="11" spans="1:24" s="26" customFormat="1" ht="39.75" customHeight="1">
      <c r="A11" s="349"/>
      <c r="B11" s="349"/>
      <c r="C11" s="349"/>
      <c r="D11" s="360"/>
      <c r="E11" s="349"/>
      <c r="F11" s="351"/>
      <c r="G11" s="349"/>
      <c r="H11" s="343"/>
      <c r="I11" s="343"/>
      <c r="J11" s="343"/>
      <c r="K11" s="152" t="s">
        <v>67</v>
      </c>
      <c r="L11" s="152" t="s">
        <v>68</v>
      </c>
      <c r="M11" s="152" t="s">
        <v>69</v>
      </c>
      <c r="N11" s="152" t="s">
        <v>47</v>
      </c>
      <c r="O11" s="343"/>
      <c r="P11" s="152" t="s">
        <v>11</v>
      </c>
      <c r="Q11" s="152" t="s">
        <v>12</v>
      </c>
      <c r="R11" s="152" t="s">
        <v>13</v>
      </c>
      <c r="S11" s="152" t="s">
        <v>14</v>
      </c>
      <c r="T11" s="343"/>
      <c r="U11" s="152" t="s">
        <v>11</v>
      </c>
      <c r="V11" s="152" t="s">
        <v>12</v>
      </c>
      <c r="W11" s="152" t="s">
        <v>13</v>
      </c>
      <c r="X11" s="152" t="s">
        <v>14</v>
      </c>
    </row>
    <row r="12" spans="1:24" ht="12.75">
      <c r="A12" s="108">
        <v>1</v>
      </c>
      <c r="B12" s="108">
        <v>2</v>
      </c>
      <c r="C12" s="108">
        <v>3</v>
      </c>
      <c r="D12" s="109">
        <v>4</v>
      </c>
      <c r="E12" s="108">
        <v>5</v>
      </c>
      <c r="F12" s="109">
        <v>6</v>
      </c>
      <c r="G12" s="108">
        <v>7</v>
      </c>
      <c r="H12" s="108">
        <v>8</v>
      </c>
      <c r="I12" s="108">
        <v>9</v>
      </c>
      <c r="J12" s="108">
        <v>10</v>
      </c>
      <c r="K12" s="108">
        <v>11</v>
      </c>
      <c r="L12" s="108">
        <v>12</v>
      </c>
      <c r="M12" s="108">
        <v>13</v>
      </c>
      <c r="N12" s="108">
        <v>14</v>
      </c>
      <c r="O12" s="108">
        <v>15</v>
      </c>
      <c r="P12" s="108">
        <v>16</v>
      </c>
      <c r="Q12" s="108">
        <v>17</v>
      </c>
      <c r="R12" s="108">
        <v>18</v>
      </c>
      <c r="S12" s="108">
        <v>19</v>
      </c>
      <c r="T12" s="108">
        <v>20</v>
      </c>
      <c r="U12" s="108">
        <v>21</v>
      </c>
      <c r="V12" s="108">
        <v>22</v>
      </c>
      <c r="W12" s="108">
        <v>23</v>
      </c>
      <c r="X12" s="108">
        <v>24</v>
      </c>
    </row>
    <row r="13" spans="1:24" ht="15.75" customHeight="1">
      <c r="A13" s="365" t="s">
        <v>63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</row>
    <row r="14" spans="1:24" ht="81.75" customHeight="1">
      <c r="A14" s="79">
        <v>1</v>
      </c>
      <c r="B14" s="80" t="s">
        <v>167</v>
      </c>
      <c r="C14" s="80" t="s">
        <v>71</v>
      </c>
      <c r="D14" s="30" t="s">
        <v>187</v>
      </c>
      <c r="E14" s="337" t="s">
        <v>24</v>
      </c>
      <c r="F14" s="149" t="s">
        <v>289</v>
      </c>
      <c r="G14" s="79">
        <v>2020</v>
      </c>
      <c r="H14" s="13">
        <v>4333.2</v>
      </c>
      <c r="I14" s="13">
        <v>4333.2</v>
      </c>
      <c r="J14" s="13">
        <v>4333.2</v>
      </c>
      <c r="K14" s="10">
        <f aca="true" t="shared" si="0" ref="K14:K23">(J14-N14-M14)*95%</f>
        <v>1724.1245999999996</v>
      </c>
      <c r="L14" s="10">
        <f aca="true" t="shared" si="1" ref="L14:L23">(J14-N14-M14)*5%</f>
        <v>90.7434</v>
      </c>
      <c r="M14" s="10">
        <f aca="true" t="shared" si="2" ref="M14:M23">(J14-N14-(H14-I14))*1%+(H14-I14)</f>
        <v>18.331999999999997</v>
      </c>
      <c r="N14" s="10">
        <v>2500</v>
      </c>
      <c r="O14" s="13"/>
      <c r="P14" s="10"/>
      <c r="Q14" s="10"/>
      <c r="R14" s="10"/>
      <c r="S14" s="14"/>
      <c r="T14" s="13"/>
      <c r="U14" s="10"/>
      <c r="V14" s="10"/>
      <c r="W14" s="10"/>
      <c r="X14" s="13"/>
    </row>
    <row r="15" spans="1:24" ht="92.25">
      <c r="A15" s="79">
        <v>2</v>
      </c>
      <c r="B15" s="80" t="s">
        <v>167</v>
      </c>
      <c r="C15" s="80" t="s">
        <v>71</v>
      </c>
      <c r="D15" s="30" t="s">
        <v>178</v>
      </c>
      <c r="E15" s="338"/>
      <c r="F15" s="288" t="s">
        <v>290</v>
      </c>
      <c r="G15" s="79">
        <v>2020</v>
      </c>
      <c r="H15" s="13">
        <v>113600.6</v>
      </c>
      <c r="I15" s="13">
        <v>113600.6</v>
      </c>
      <c r="J15" s="13">
        <v>113600.6</v>
      </c>
      <c r="K15" s="10">
        <f t="shared" si="0"/>
        <v>104960.3643</v>
      </c>
      <c r="L15" s="10">
        <f t="shared" si="1"/>
        <v>5524.229700000001</v>
      </c>
      <c r="M15" s="10">
        <f t="shared" si="2"/>
        <v>1116.006</v>
      </c>
      <c r="N15" s="10">
        <v>2000</v>
      </c>
      <c r="O15" s="13"/>
      <c r="P15" s="14"/>
      <c r="Q15" s="13"/>
      <c r="R15" s="13"/>
      <c r="S15" s="14"/>
      <c r="T15" s="13"/>
      <c r="U15" s="14"/>
      <c r="V15" s="14"/>
      <c r="W15" s="13"/>
      <c r="X15" s="13"/>
    </row>
    <row r="16" spans="1:24" ht="52.5">
      <c r="A16" s="79">
        <v>3</v>
      </c>
      <c r="B16" s="80" t="s">
        <v>167</v>
      </c>
      <c r="C16" s="82" t="s">
        <v>71</v>
      </c>
      <c r="D16" s="30" t="s">
        <v>179</v>
      </c>
      <c r="E16" s="338"/>
      <c r="F16" s="288" t="s">
        <v>281</v>
      </c>
      <c r="G16" s="79">
        <v>2020</v>
      </c>
      <c r="H16" s="13">
        <v>4554.30576</v>
      </c>
      <c r="I16" s="13">
        <v>4554.30576</v>
      </c>
      <c r="J16" s="13">
        <v>4554.30576</v>
      </c>
      <c r="K16" s="10">
        <f t="shared" si="0"/>
        <v>3342.8245672800003</v>
      </c>
      <c r="L16" s="10">
        <f t="shared" si="1"/>
        <v>175.93813512000003</v>
      </c>
      <c r="M16" s="10">
        <f t="shared" si="2"/>
        <v>35.543057600000004</v>
      </c>
      <c r="N16" s="10">
        <v>1000</v>
      </c>
      <c r="O16" s="14"/>
      <c r="P16" s="10"/>
      <c r="Q16" s="10"/>
      <c r="R16" s="10"/>
      <c r="S16" s="14"/>
      <c r="T16" s="13"/>
      <c r="U16" s="10"/>
      <c r="V16" s="10"/>
      <c r="W16" s="10"/>
      <c r="X16" s="14"/>
    </row>
    <row r="17" spans="1:24" ht="52.5">
      <c r="A17" s="79">
        <v>4</v>
      </c>
      <c r="B17" s="80" t="s">
        <v>167</v>
      </c>
      <c r="C17" s="83" t="s">
        <v>71</v>
      </c>
      <c r="D17" s="84" t="s">
        <v>180</v>
      </c>
      <c r="E17" s="338"/>
      <c r="F17" s="288" t="s">
        <v>282</v>
      </c>
      <c r="G17" s="85">
        <v>2020</v>
      </c>
      <c r="H17" s="75">
        <v>1357.5</v>
      </c>
      <c r="I17" s="75">
        <v>1357.5</v>
      </c>
      <c r="J17" s="75">
        <v>1357.5</v>
      </c>
      <c r="K17" s="10">
        <f t="shared" si="0"/>
        <v>1276.72875</v>
      </c>
      <c r="L17" s="10">
        <f t="shared" si="1"/>
        <v>67.19625</v>
      </c>
      <c r="M17" s="10">
        <f t="shared" si="2"/>
        <v>13.575000000000001</v>
      </c>
      <c r="N17" s="86"/>
      <c r="O17" s="76"/>
      <c r="P17" s="86"/>
      <c r="Q17" s="86"/>
      <c r="R17" s="86"/>
      <c r="S17" s="76"/>
      <c r="T17" s="75"/>
      <c r="U17" s="86"/>
      <c r="V17" s="86"/>
      <c r="W17" s="86"/>
      <c r="X17" s="76"/>
    </row>
    <row r="18" spans="1:24" ht="52.5">
      <c r="A18" s="79">
        <v>5</v>
      </c>
      <c r="B18" s="80" t="s">
        <v>167</v>
      </c>
      <c r="C18" s="83" t="s">
        <v>71</v>
      </c>
      <c r="D18" s="84" t="s">
        <v>240</v>
      </c>
      <c r="E18" s="338"/>
      <c r="F18" s="288" t="s">
        <v>282</v>
      </c>
      <c r="G18" s="85">
        <v>2020</v>
      </c>
      <c r="H18" s="75">
        <v>838.998</v>
      </c>
      <c r="I18" s="75">
        <v>838.998</v>
      </c>
      <c r="J18" s="75">
        <v>838.998</v>
      </c>
      <c r="K18" s="10">
        <f>(J18-N18-M18)*95%</f>
        <v>789.077619</v>
      </c>
      <c r="L18" s="10">
        <f>(J18-N18-M18)*5%</f>
        <v>41.530401000000005</v>
      </c>
      <c r="M18" s="10">
        <f>(J18-N18-(H18-I18))*1%+(H18-I18)</f>
        <v>8.389980000000001</v>
      </c>
      <c r="N18" s="86"/>
      <c r="O18" s="76"/>
      <c r="P18" s="86"/>
      <c r="Q18" s="86"/>
      <c r="R18" s="86"/>
      <c r="S18" s="76"/>
      <c r="T18" s="75"/>
      <c r="U18" s="86"/>
      <c r="V18" s="86"/>
      <c r="W18" s="86"/>
      <c r="X18" s="76"/>
    </row>
    <row r="19" spans="1:24" s="87" customFormat="1" ht="52.5">
      <c r="A19" s="79">
        <v>6</v>
      </c>
      <c r="B19" s="80" t="s">
        <v>167</v>
      </c>
      <c r="C19" s="82" t="s">
        <v>71</v>
      </c>
      <c r="D19" s="30" t="s">
        <v>181</v>
      </c>
      <c r="E19" s="338"/>
      <c r="F19" s="288" t="s">
        <v>282</v>
      </c>
      <c r="G19" s="79">
        <v>2020</v>
      </c>
      <c r="H19" s="13">
        <v>2988.1</v>
      </c>
      <c r="I19" s="13">
        <v>2988.1</v>
      </c>
      <c r="J19" s="13">
        <v>2988.1</v>
      </c>
      <c r="K19" s="10">
        <f t="shared" si="0"/>
        <v>2810.30805</v>
      </c>
      <c r="L19" s="10">
        <f t="shared" si="1"/>
        <v>147.91095</v>
      </c>
      <c r="M19" s="10">
        <f t="shared" si="2"/>
        <v>29.881</v>
      </c>
      <c r="N19" s="10"/>
      <c r="O19" s="14"/>
      <c r="P19" s="10"/>
      <c r="Q19" s="10"/>
      <c r="R19" s="10"/>
      <c r="S19" s="14"/>
      <c r="T19" s="13"/>
      <c r="U19" s="10"/>
      <c r="V19" s="10"/>
      <c r="W19" s="10"/>
      <c r="X19" s="14"/>
    </row>
    <row r="20" spans="1:24" ht="42" customHeight="1">
      <c r="A20" s="79">
        <v>7</v>
      </c>
      <c r="B20" s="80" t="s">
        <v>167</v>
      </c>
      <c r="C20" s="88" t="s">
        <v>71</v>
      </c>
      <c r="D20" s="89" t="s">
        <v>182</v>
      </c>
      <c r="E20" s="338"/>
      <c r="F20" s="79" t="s">
        <v>241</v>
      </c>
      <c r="G20" s="90">
        <v>2020</v>
      </c>
      <c r="H20" s="77">
        <v>2277.925</v>
      </c>
      <c r="I20" s="77">
        <v>2277.925</v>
      </c>
      <c r="J20" s="77">
        <v>2277.925</v>
      </c>
      <c r="K20" s="10">
        <f t="shared" si="0"/>
        <v>2142.3884625</v>
      </c>
      <c r="L20" s="10">
        <f t="shared" si="1"/>
        <v>112.75728750000002</v>
      </c>
      <c r="M20" s="10">
        <f t="shared" si="2"/>
        <v>22.77925</v>
      </c>
      <c r="N20" s="91"/>
      <c r="O20" s="91"/>
      <c r="P20" s="91"/>
      <c r="Q20" s="77"/>
      <c r="R20" s="77"/>
      <c r="S20" s="91"/>
      <c r="T20" s="77"/>
      <c r="U20" s="91"/>
      <c r="V20" s="91"/>
      <c r="W20" s="77"/>
      <c r="X20" s="91"/>
    </row>
    <row r="21" spans="1:24" s="87" customFormat="1" ht="67.5" customHeight="1">
      <c r="A21" s="79">
        <v>8</v>
      </c>
      <c r="B21" s="80" t="s">
        <v>167</v>
      </c>
      <c r="C21" s="82" t="s">
        <v>21</v>
      </c>
      <c r="D21" s="30" t="s">
        <v>203</v>
      </c>
      <c r="E21" s="338"/>
      <c r="F21" s="288" t="s">
        <v>44</v>
      </c>
      <c r="G21" s="79">
        <v>2020</v>
      </c>
      <c r="H21" s="13">
        <v>1600</v>
      </c>
      <c r="I21" s="13">
        <v>1600</v>
      </c>
      <c r="J21" s="13">
        <v>1600</v>
      </c>
      <c r="K21" s="10">
        <f t="shared" si="0"/>
        <v>1504.8</v>
      </c>
      <c r="L21" s="10">
        <f t="shared" si="1"/>
        <v>79.2</v>
      </c>
      <c r="M21" s="10">
        <f t="shared" si="2"/>
        <v>16</v>
      </c>
      <c r="N21" s="95"/>
      <c r="O21" s="95"/>
      <c r="P21" s="96"/>
      <c r="Q21" s="95"/>
      <c r="R21" s="95"/>
      <c r="S21" s="95"/>
      <c r="T21" s="96"/>
      <c r="U21" s="96"/>
      <c r="V21" s="95"/>
      <c r="W21" s="95"/>
      <c r="X21" s="95"/>
    </row>
    <row r="22" spans="1:24" s="87" customFormat="1" ht="67.5" customHeight="1">
      <c r="A22" s="79">
        <v>9</v>
      </c>
      <c r="B22" s="80" t="s">
        <v>167</v>
      </c>
      <c r="C22" s="82" t="s">
        <v>21</v>
      </c>
      <c r="D22" s="30" t="s">
        <v>204</v>
      </c>
      <c r="E22" s="338"/>
      <c r="F22" s="288" t="s">
        <v>44</v>
      </c>
      <c r="G22" s="79">
        <v>2020</v>
      </c>
      <c r="H22" s="13">
        <v>1600</v>
      </c>
      <c r="I22" s="13">
        <v>1600</v>
      </c>
      <c r="J22" s="13">
        <v>1600</v>
      </c>
      <c r="K22" s="10">
        <f>(J22-N22-M22)*95%</f>
        <v>1504.8</v>
      </c>
      <c r="L22" s="10">
        <f>(J22-N22-M22)*5%</f>
        <v>79.2</v>
      </c>
      <c r="M22" s="10">
        <f>(J22-N22-(H22-I22))*1%+(H22-I22)</f>
        <v>16</v>
      </c>
      <c r="N22" s="95"/>
      <c r="O22" s="95"/>
      <c r="P22" s="96"/>
      <c r="Q22" s="95"/>
      <c r="R22" s="95"/>
      <c r="S22" s="95"/>
      <c r="T22" s="96"/>
      <c r="U22" s="96"/>
      <c r="V22" s="95"/>
      <c r="W22" s="95"/>
      <c r="X22" s="95"/>
    </row>
    <row r="23" spans="1:24" s="87" customFormat="1" ht="39">
      <c r="A23" s="79">
        <v>10</v>
      </c>
      <c r="B23" s="80" t="s">
        <v>167</v>
      </c>
      <c r="C23" s="82" t="s">
        <v>21</v>
      </c>
      <c r="D23" s="30" t="s">
        <v>205</v>
      </c>
      <c r="E23" s="339"/>
      <c r="F23" s="288" t="s">
        <v>44</v>
      </c>
      <c r="G23" s="79">
        <v>2020</v>
      </c>
      <c r="H23" s="13">
        <v>1600</v>
      </c>
      <c r="I23" s="13">
        <v>1600</v>
      </c>
      <c r="J23" s="13">
        <v>1600</v>
      </c>
      <c r="K23" s="10">
        <f t="shared" si="0"/>
        <v>1504.8</v>
      </c>
      <c r="L23" s="10">
        <f t="shared" si="1"/>
        <v>79.2</v>
      </c>
      <c r="M23" s="10">
        <f t="shared" si="2"/>
        <v>16</v>
      </c>
      <c r="N23" s="95"/>
      <c r="O23" s="95"/>
      <c r="P23" s="96"/>
      <c r="Q23" s="95"/>
      <c r="R23" s="95"/>
      <c r="S23" s="95"/>
      <c r="T23" s="96"/>
      <c r="U23" s="96"/>
      <c r="V23" s="95"/>
      <c r="W23" s="95"/>
      <c r="X23" s="95"/>
    </row>
    <row r="24" spans="1:24" s="114" customFormat="1" ht="32.25" customHeight="1">
      <c r="A24" s="110"/>
      <c r="B24" s="111" t="s">
        <v>16</v>
      </c>
      <c r="C24" s="111" t="s">
        <v>16</v>
      </c>
      <c r="D24" s="112" t="s">
        <v>17</v>
      </c>
      <c r="E24" s="110" t="s">
        <v>16</v>
      </c>
      <c r="F24" s="153" t="s">
        <v>16</v>
      </c>
      <c r="G24" s="110" t="s">
        <v>16</v>
      </c>
      <c r="H24" s="113">
        <f>SUM(H14:H23)</f>
        <v>134750.62876000002</v>
      </c>
      <c r="I24" s="113">
        <f aca="true" t="shared" si="3" ref="I24:X24">SUM(I14:I23)</f>
        <v>134750.62876000002</v>
      </c>
      <c r="J24" s="113">
        <f t="shared" si="3"/>
        <v>134750.62876000002</v>
      </c>
      <c r="K24" s="113">
        <f t="shared" si="3"/>
        <v>121560.21634878001</v>
      </c>
      <c r="L24" s="113">
        <f t="shared" si="3"/>
        <v>6397.9061236200005</v>
      </c>
      <c r="M24" s="113">
        <f t="shared" si="3"/>
        <v>1292.5062876000004</v>
      </c>
      <c r="N24" s="113">
        <f t="shared" si="3"/>
        <v>5500</v>
      </c>
      <c r="O24" s="113">
        <f t="shared" si="3"/>
        <v>0</v>
      </c>
      <c r="P24" s="113">
        <f t="shared" si="3"/>
        <v>0</v>
      </c>
      <c r="Q24" s="113">
        <f t="shared" si="3"/>
        <v>0</v>
      </c>
      <c r="R24" s="113">
        <f t="shared" si="3"/>
        <v>0</v>
      </c>
      <c r="S24" s="113">
        <f t="shared" si="3"/>
        <v>0</v>
      </c>
      <c r="T24" s="113">
        <f t="shared" si="3"/>
        <v>0</v>
      </c>
      <c r="U24" s="113">
        <f t="shared" si="3"/>
        <v>0</v>
      </c>
      <c r="V24" s="113">
        <f t="shared" si="3"/>
        <v>0</v>
      </c>
      <c r="W24" s="113">
        <f t="shared" si="3"/>
        <v>0</v>
      </c>
      <c r="X24" s="113">
        <f t="shared" si="3"/>
        <v>0</v>
      </c>
    </row>
    <row r="25" spans="1:24" ht="15.75" customHeight="1">
      <c r="A25" s="366" t="s">
        <v>65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</row>
    <row r="26" spans="1:24" ht="66">
      <c r="A26" s="79">
        <v>11</v>
      </c>
      <c r="B26" s="80" t="s">
        <v>167</v>
      </c>
      <c r="C26" s="80" t="s">
        <v>71</v>
      </c>
      <c r="D26" s="30" t="s">
        <v>206</v>
      </c>
      <c r="E26" s="115"/>
      <c r="F26" s="288" t="s">
        <v>44</v>
      </c>
      <c r="G26" s="79">
        <v>2020</v>
      </c>
      <c r="H26" s="13">
        <v>5075</v>
      </c>
      <c r="I26" s="13">
        <v>5075</v>
      </c>
      <c r="J26" s="13">
        <v>5075</v>
      </c>
      <c r="K26" s="10">
        <f>(J26-N26-M26)*95%</f>
        <v>4773.037499999999</v>
      </c>
      <c r="L26" s="10">
        <f>(J26-N26-M26)*5%</f>
        <v>251.2125</v>
      </c>
      <c r="M26" s="10">
        <f>(J26-N26-(H26-I26))*1%+(H26-I26)</f>
        <v>50.75</v>
      </c>
      <c r="N26" s="95"/>
      <c r="O26" s="95"/>
      <c r="P26" s="10"/>
      <c r="Q26" s="10"/>
      <c r="R26" s="10"/>
      <c r="S26" s="95"/>
      <c r="T26" s="95"/>
      <c r="U26" s="10"/>
      <c r="V26" s="10"/>
      <c r="W26" s="10"/>
      <c r="X26" s="95"/>
    </row>
    <row r="27" spans="1:24" ht="78.75">
      <c r="A27" s="79">
        <v>12</v>
      </c>
      <c r="B27" s="80" t="s">
        <v>167</v>
      </c>
      <c r="C27" s="80" t="s">
        <v>71</v>
      </c>
      <c r="D27" s="30" t="s">
        <v>188</v>
      </c>
      <c r="E27" s="115"/>
      <c r="F27" s="79" t="s">
        <v>44</v>
      </c>
      <c r="G27" s="79">
        <v>2020</v>
      </c>
      <c r="H27" s="13">
        <v>1000</v>
      </c>
      <c r="I27" s="13">
        <v>1000</v>
      </c>
      <c r="J27" s="13">
        <v>1000</v>
      </c>
      <c r="K27" s="10"/>
      <c r="L27" s="10"/>
      <c r="M27" s="10"/>
      <c r="N27" s="13">
        <v>1000</v>
      </c>
      <c r="O27" s="95"/>
      <c r="P27" s="10"/>
      <c r="Q27" s="10"/>
      <c r="R27" s="10"/>
      <c r="S27" s="95"/>
      <c r="T27" s="95"/>
      <c r="U27" s="10"/>
      <c r="V27" s="10"/>
      <c r="W27" s="10"/>
      <c r="X27" s="95"/>
    </row>
    <row r="28" spans="1:24" ht="39" customHeight="1">
      <c r="A28" s="79">
        <v>13</v>
      </c>
      <c r="B28" s="80" t="s">
        <v>167</v>
      </c>
      <c r="C28" s="83" t="s">
        <v>21</v>
      </c>
      <c r="D28" s="84" t="s">
        <v>189</v>
      </c>
      <c r="E28" s="92"/>
      <c r="F28" s="288" t="s">
        <v>44</v>
      </c>
      <c r="G28" s="85">
        <v>2020</v>
      </c>
      <c r="H28" s="75">
        <v>2151.04</v>
      </c>
      <c r="I28" s="75">
        <v>2151.04</v>
      </c>
      <c r="J28" s="75">
        <v>2151.04</v>
      </c>
      <c r="K28" s="10">
        <f>(J28-N28-M28)*95%</f>
        <v>2023.0531199999998</v>
      </c>
      <c r="L28" s="10">
        <f>(J28-N28-M28)*5%</f>
        <v>106.47648</v>
      </c>
      <c r="M28" s="10">
        <f>(J28-N28-(H28-I28))*1%+(H28-I28)</f>
        <v>21.5104</v>
      </c>
      <c r="N28" s="93"/>
      <c r="O28" s="93"/>
      <c r="P28" s="94"/>
      <c r="Q28" s="93"/>
      <c r="R28" s="93"/>
      <c r="S28" s="93"/>
      <c r="T28" s="94"/>
      <c r="U28" s="94"/>
      <c r="V28" s="93"/>
      <c r="W28" s="93"/>
      <c r="X28" s="93"/>
    </row>
    <row r="29" spans="1:24" ht="52.5">
      <c r="A29" s="292">
        <v>14</v>
      </c>
      <c r="B29" s="293" t="s">
        <v>167</v>
      </c>
      <c r="C29" s="293" t="s">
        <v>22</v>
      </c>
      <c r="D29" s="294" t="s">
        <v>292</v>
      </c>
      <c r="E29" s="295"/>
      <c r="F29" s="292" t="s">
        <v>44</v>
      </c>
      <c r="G29" s="292">
        <v>2020</v>
      </c>
      <c r="H29" s="296">
        <v>12860</v>
      </c>
      <c r="I29" s="296">
        <v>12860</v>
      </c>
      <c r="J29" s="296">
        <v>12860</v>
      </c>
      <c r="K29" s="10">
        <f>(J29-N29-M29)*95%</f>
        <v>12094.83</v>
      </c>
      <c r="L29" s="10">
        <f>(J29-N29-M29)*5%</f>
        <v>636.57</v>
      </c>
      <c r="M29" s="10">
        <f>(J29-N29-(H29-I29))*1%+(H29-I29)</f>
        <v>128.6</v>
      </c>
      <c r="N29" s="297"/>
      <c r="O29" s="298"/>
      <c r="P29" s="298"/>
      <c r="Q29" s="298"/>
      <c r="R29" s="298"/>
      <c r="S29" s="298"/>
      <c r="T29" s="298"/>
      <c r="U29" s="298"/>
      <c r="V29" s="298"/>
      <c r="W29" s="297"/>
      <c r="X29" s="298"/>
    </row>
    <row r="30" spans="1:24" s="38" customFormat="1" ht="35.25" customHeight="1">
      <c r="A30" s="299"/>
      <c r="B30" s="299" t="s">
        <v>16</v>
      </c>
      <c r="C30" s="299" t="s">
        <v>16</v>
      </c>
      <c r="D30" s="300" t="s">
        <v>17</v>
      </c>
      <c r="E30" s="299"/>
      <c r="F30" s="301"/>
      <c r="G30" s="299"/>
      <c r="H30" s="302">
        <f aca="true" t="shared" si="4" ref="H30:X30">SUM(H26:H29)</f>
        <v>21086.04</v>
      </c>
      <c r="I30" s="302">
        <f t="shared" si="4"/>
        <v>21086.04</v>
      </c>
      <c r="J30" s="302">
        <f t="shared" si="4"/>
        <v>21086.04</v>
      </c>
      <c r="K30" s="302">
        <f t="shared" si="4"/>
        <v>18890.920619999997</v>
      </c>
      <c r="L30" s="302">
        <f t="shared" si="4"/>
        <v>994.2589800000001</v>
      </c>
      <c r="M30" s="302">
        <f t="shared" si="4"/>
        <v>200.8604</v>
      </c>
      <c r="N30" s="302">
        <f t="shared" si="4"/>
        <v>1000</v>
      </c>
      <c r="O30" s="302">
        <f t="shared" si="4"/>
        <v>0</v>
      </c>
      <c r="P30" s="302">
        <f t="shared" si="4"/>
        <v>0</v>
      </c>
      <c r="Q30" s="302">
        <f t="shared" si="4"/>
        <v>0</v>
      </c>
      <c r="R30" s="302">
        <f t="shared" si="4"/>
        <v>0</v>
      </c>
      <c r="S30" s="302">
        <f t="shared" si="4"/>
        <v>0</v>
      </c>
      <c r="T30" s="302">
        <f t="shared" si="4"/>
        <v>0</v>
      </c>
      <c r="U30" s="302">
        <f t="shared" si="4"/>
        <v>0</v>
      </c>
      <c r="V30" s="302">
        <f t="shared" si="4"/>
        <v>0</v>
      </c>
      <c r="W30" s="302">
        <f t="shared" si="4"/>
        <v>0</v>
      </c>
      <c r="X30" s="302">
        <f t="shared" si="4"/>
        <v>0</v>
      </c>
    </row>
    <row r="31" spans="1:24" s="38" customFormat="1" ht="22.5" customHeight="1">
      <c r="A31" s="361" t="s">
        <v>119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3"/>
    </row>
    <row r="32" spans="1:24" s="38" customFormat="1" ht="54" customHeight="1">
      <c r="A32" s="292">
        <v>15</v>
      </c>
      <c r="B32" s="293" t="s">
        <v>167</v>
      </c>
      <c r="C32" s="293" t="s">
        <v>22</v>
      </c>
      <c r="D32" s="303" t="s">
        <v>237</v>
      </c>
      <c r="E32" s="299"/>
      <c r="F32" s="292" t="s">
        <v>238</v>
      </c>
      <c r="G32" s="292">
        <v>2020</v>
      </c>
      <c r="H32" s="296">
        <v>3969.9</v>
      </c>
      <c r="I32" s="296">
        <v>3969.9</v>
      </c>
      <c r="J32" s="296">
        <v>3969.9</v>
      </c>
      <c r="K32" s="10">
        <f>(J32-N32-M32)*95%</f>
        <v>3733.6909499999997</v>
      </c>
      <c r="L32" s="10">
        <f>(J32-N32-M32)*5%</f>
        <v>196.51005</v>
      </c>
      <c r="M32" s="10">
        <f>(J32-N32-(H32-I32))*1%+(H32-I32)</f>
        <v>39.699000000000005</v>
      </c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</row>
    <row r="33" spans="1:24" s="38" customFormat="1" ht="33" customHeight="1">
      <c r="A33" s="110"/>
      <c r="B33" s="111" t="s">
        <v>16</v>
      </c>
      <c r="C33" s="111" t="s">
        <v>16</v>
      </c>
      <c r="D33" s="112" t="s">
        <v>17</v>
      </c>
      <c r="E33" s="110"/>
      <c r="F33" s="153"/>
      <c r="G33" s="110"/>
      <c r="H33" s="113">
        <f>H32</f>
        <v>3969.9</v>
      </c>
      <c r="I33" s="113">
        <f aca="true" t="shared" si="5" ref="I33:N33">I32</f>
        <v>3969.9</v>
      </c>
      <c r="J33" s="113">
        <f t="shared" si="5"/>
        <v>3969.9</v>
      </c>
      <c r="K33" s="113">
        <f t="shared" si="5"/>
        <v>3733.6909499999997</v>
      </c>
      <c r="L33" s="113">
        <f t="shared" si="5"/>
        <v>196.51005</v>
      </c>
      <c r="M33" s="113">
        <f t="shared" si="5"/>
        <v>39.699000000000005</v>
      </c>
      <c r="N33" s="113">
        <f t="shared" si="5"/>
        <v>0</v>
      </c>
      <c r="O33" s="113">
        <f aca="true" t="shared" si="6" ref="O33:X33">O32</f>
        <v>0</v>
      </c>
      <c r="P33" s="113">
        <f t="shared" si="6"/>
        <v>0</v>
      </c>
      <c r="Q33" s="113">
        <f t="shared" si="6"/>
        <v>0</v>
      </c>
      <c r="R33" s="113">
        <f t="shared" si="6"/>
        <v>0</v>
      </c>
      <c r="S33" s="113">
        <f t="shared" si="6"/>
        <v>0</v>
      </c>
      <c r="T33" s="113">
        <f t="shared" si="6"/>
        <v>0</v>
      </c>
      <c r="U33" s="113">
        <f t="shared" si="6"/>
        <v>0</v>
      </c>
      <c r="V33" s="113">
        <f t="shared" si="6"/>
        <v>0</v>
      </c>
      <c r="W33" s="113">
        <f t="shared" si="6"/>
        <v>0</v>
      </c>
      <c r="X33" s="113">
        <f t="shared" si="6"/>
        <v>0</v>
      </c>
    </row>
    <row r="34" spans="1:24" s="117" customFormat="1" ht="24" customHeight="1">
      <c r="A34" s="110"/>
      <c r="B34" s="111"/>
      <c r="C34" s="111"/>
      <c r="D34" s="112" t="s">
        <v>23</v>
      </c>
      <c r="E34" s="110"/>
      <c r="F34" s="153"/>
      <c r="G34" s="110"/>
      <c r="H34" s="113">
        <f aca="true" t="shared" si="7" ref="H34:X34">H24+H30+H33</f>
        <v>159806.56876000002</v>
      </c>
      <c r="I34" s="113">
        <f t="shared" si="7"/>
        <v>159806.56876000002</v>
      </c>
      <c r="J34" s="113">
        <f t="shared" si="7"/>
        <v>159806.56876000002</v>
      </c>
      <c r="K34" s="113">
        <f t="shared" si="7"/>
        <v>144184.82791878</v>
      </c>
      <c r="L34" s="113">
        <f t="shared" si="7"/>
        <v>7588.67515362</v>
      </c>
      <c r="M34" s="113">
        <f t="shared" si="7"/>
        <v>1533.0656876000005</v>
      </c>
      <c r="N34" s="113">
        <f t="shared" si="7"/>
        <v>6500</v>
      </c>
      <c r="O34" s="113">
        <f t="shared" si="7"/>
        <v>0</v>
      </c>
      <c r="P34" s="113">
        <f t="shared" si="7"/>
        <v>0</v>
      </c>
      <c r="Q34" s="113">
        <f t="shared" si="7"/>
        <v>0</v>
      </c>
      <c r="R34" s="113">
        <f t="shared" si="7"/>
        <v>0</v>
      </c>
      <c r="S34" s="113">
        <f t="shared" si="7"/>
        <v>0</v>
      </c>
      <c r="T34" s="113">
        <f t="shared" si="7"/>
        <v>0</v>
      </c>
      <c r="U34" s="113">
        <f t="shared" si="7"/>
        <v>0</v>
      </c>
      <c r="V34" s="113">
        <f t="shared" si="7"/>
        <v>0</v>
      </c>
      <c r="W34" s="113">
        <f t="shared" si="7"/>
        <v>0</v>
      </c>
      <c r="X34" s="113">
        <f t="shared" si="7"/>
        <v>0</v>
      </c>
    </row>
    <row r="35" spans="1:24" ht="12.75">
      <c r="A35" s="118"/>
      <c r="B35" s="118"/>
      <c r="C35" s="118"/>
      <c r="D35" s="119"/>
      <c r="E35" s="118"/>
      <c r="F35" s="120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4" ht="12.75">
      <c r="A36" s="118"/>
      <c r="B36" s="118"/>
      <c r="C36" s="118"/>
      <c r="D36" s="119"/>
      <c r="E36" s="118"/>
      <c r="F36" s="120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ht="12.75">
      <c r="A37" s="118"/>
      <c r="B37" s="118"/>
      <c r="C37" s="118"/>
      <c r="D37" s="119"/>
      <c r="E37" s="118"/>
      <c r="F37" s="120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2.75">
      <c r="A38" s="118"/>
      <c r="B38" s="118"/>
      <c r="C38" s="118"/>
      <c r="D38" s="119"/>
      <c r="E38" s="118"/>
      <c r="F38" s="120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ht="12.75">
      <c r="A39" s="118"/>
      <c r="B39" s="118"/>
      <c r="C39" s="118"/>
      <c r="D39" s="119"/>
      <c r="E39" s="118"/>
      <c r="F39" s="120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</row>
    <row r="41" spans="1:3" ht="18">
      <c r="A41" s="121"/>
      <c r="B41" s="122"/>
      <c r="C41" s="122"/>
    </row>
    <row r="42" spans="1:24" s="127" customFormat="1" ht="22.5" customHeight="1">
      <c r="A42" s="344" t="s">
        <v>29</v>
      </c>
      <c r="B42" s="345"/>
      <c r="C42" s="345"/>
      <c r="D42" s="345"/>
      <c r="E42" s="345"/>
      <c r="F42" s="345"/>
      <c r="G42" s="154"/>
      <c r="H42" s="24"/>
      <c r="I42" s="24"/>
      <c r="J42" s="24"/>
      <c r="K42" s="24"/>
      <c r="L42" s="24"/>
      <c r="M42" s="24"/>
      <c r="N42" s="346" t="s">
        <v>28</v>
      </c>
      <c r="O42" s="347"/>
      <c r="P42" s="347"/>
      <c r="Q42" s="126"/>
      <c r="R42" s="346"/>
      <c r="S42" s="347"/>
      <c r="T42" s="347"/>
      <c r="U42" s="24"/>
      <c r="V42" s="24"/>
      <c r="W42" s="24"/>
      <c r="X42" s="24"/>
    </row>
    <row r="43" spans="1:24" s="26" customFormat="1" ht="40.5" customHeight="1">
      <c r="A43" s="128"/>
      <c r="B43" s="128"/>
      <c r="C43" s="128"/>
      <c r="D43" s="128"/>
      <c r="E43" s="128"/>
      <c r="F43" s="129"/>
      <c r="G43" s="130"/>
      <c r="H43" s="25"/>
      <c r="I43" s="25"/>
      <c r="J43" s="25"/>
      <c r="K43" s="25"/>
      <c r="L43" s="25"/>
      <c r="M43" s="25"/>
      <c r="N43" s="340"/>
      <c r="O43" s="341"/>
      <c r="P43" s="341"/>
      <c r="Q43" s="131"/>
      <c r="R43" s="340"/>
      <c r="S43" s="341"/>
      <c r="T43" s="341"/>
      <c r="U43" s="25"/>
      <c r="V43" s="25"/>
      <c r="W43" s="25"/>
      <c r="X43" s="25"/>
    </row>
    <row r="44" spans="1:24" s="26" customFormat="1" ht="15.75" customHeight="1">
      <c r="A44" s="132" t="s">
        <v>19</v>
      </c>
      <c r="B44" s="133"/>
      <c r="C44" s="132"/>
      <c r="D44" s="132"/>
      <c r="E44" s="128"/>
      <c r="F44" s="129"/>
      <c r="G44" s="130"/>
      <c r="H44" s="25"/>
      <c r="I44" s="25"/>
      <c r="J44" s="25"/>
      <c r="K44" s="25"/>
      <c r="L44" s="25"/>
      <c r="M44" s="25"/>
      <c r="N44" s="131"/>
      <c r="O44" s="131"/>
      <c r="P44" s="131"/>
      <c r="Q44" s="131"/>
      <c r="R44" s="131"/>
      <c r="S44" s="25"/>
      <c r="T44" s="25"/>
      <c r="U44" s="25"/>
      <c r="V44" s="25"/>
      <c r="W44" s="25"/>
      <c r="X44" s="25"/>
    </row>
    <row r="45" spans="1:24" s="26" customFormat="1" ht="20.25" customHeight="1">
      <c r="A45" s="132" t="s">
        <v>27</v>
      </c>
      <c r="B45" s="132"/>
      <c r="C45" s="132"/>
      <c r="D45" s="132"/>
      <c r="E45" s="128"/>
      <c r="F45" s="129"/>
      <c r="G45" s="130"/>
      <c r="H45" s="25"/>
      <c r="I45" s="25"/>
      <c r="J45" s="25"/>
      <c r="K45" s="25"/>
      <c r="L45" s="25"/>
      <c r="M45" s="25"/>
      <c r="N45" s="131"/>
      <c r="O45" s="131"/>
      <c r="P45" s="131"/>
      <c r="Q45" s="131"/>
      <c r="R45" s="131"/>
      <c r="S45" s="25"/>
      <c r="T45" s="25"/>
      <c r="U45" s="25"/>
      <c r="V45" s="25"/>
      <c r="W45" s="25"/>
      <c r="X45" s="25"/>
    </row>
  </sheetData>
  <sheetProtection/>
  <mergeCells count="36">
    <mergeCell ref="A31:X31"/>
    <mergeCell ref="A3:X3"/>
    <mergeCell ref="U10:X10"/>
    <mergeCell ref="A13:X13"/>
    <mergeCell ref="A25:X25"/>
    <mergeCell ref="T8:X8"/>
    <mergeCell ref="T9:X9"/>
    <mergeCell ref="T10:T11"/>
    <mergeCell ref="P10:S10"/>
    <mergeCell ref="G8:G11"/>
    <mergeCell ref="I8:I11"/>
    <mergeCell ref="J8:N8"/>
    <mergeCell ref="J9:N9"/>
    <mergeCell ref="O9:S9"/>
    <mergeCell ref="J10:J11"/>
    <mergeCell ref="O10:O11"/>
    <mergeCell ref="A1:X1"/>
    <mergeCell ref="A5:X5"/>
    <mergeCell ref="A6:X6"/>
    <mergeCell ref="A4:X4"/>
    <mergeCell ref="A2:X2"/>
    <mergeCell ref="A8:A11"/>
    <mergeCell ref="B8:B11"/>
    <mergeCell ref="C8:C11"/>
    <mergeCell ref="D8:D11"/>
    <mergeCell ref="H8:H11"/>
    <mergeCell ref="E14:E23"/>
    <mergeCell ref="R43:T43"/>
    <mergeCell ref="O8:S8"/>
    <mergeCell ref="A42:F42"/>
    <mergeCell ref="N42:P42"/>
    <mergeCell ref="R42:T42"/>
    <mergeCell ref="E8:E11"/>
    <mergeCell ref="K10:N10"/>
    <mergeCell ref="N43:P43"/>
    <mergeCell ref="F8:F11"/>
  </mergeCells>
  <hyperlinks>
    <hyperlink ref="A6" r:id="rId1" display="tyjcwt"/>
  </hyperlink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view="pageBreakPreview" zoomScaleSheetLayoutView="100" zoomScalePageLayoutView="0" workbookViewId="0" topLeftCell="A14">
      <selection activeCell="F16" sqref="F16"/>
    </sheetView>
  </sheetViews>
  <sheetFormatPr defaultColWidth="14.421875" defaultRowHeight="15" customHeight="1"/>
  <cols>
    <col min="1" max="1" width="5.8515625" style="26" customWidth="1"/>
    <col min="2" max="2" width="17.00390625" style="26" customWidth="1"/>
    <col min="3" max="3" width="13.7109375" style="26" customWidth="1"/>
    <col min="4" max="4" width="22.28125" style="26" customWidth="1"/>
    <col min="5" max="5" width="15.421875" style="26" customWidth="1"/>
    <col min="6" max="6" width="19.00390625" style="26" customWidth="1"/>
    <col min="7" max="7" width="12.57421875" style="26" customWidth="1"/>
    <col min="8" max="8" width="11.8515625" style="23" customWidth="1"/>
    <col min="9" max="9" width="13.7109375" style="23" customWidth="1"/>
    <col min="10" max="10" width="9.7109375" style="23" customWidth="1"/>
    <col min="11" max="11" width="10.140625" style="23" customWidth="1"/>
    <col min="12" max="13" width="8.7109375" style="23" customWidth="1"/>
    <col min="14" max="14" width="9.140625" style="23" customWidth="1"/>
    <col min="15" max="17" width="8.7109375" style="23" customWidth="1"/>
    <col min="18" max="18" width="6.8515625" style="23" customWidth="1"/>
    <col min="19" max="19" width="4.28125" style="23" customWidth="1"/>
    <col min="20" max="23" width="8.7109375" style="23" customWidth="1"/>
    <col min="24" max="24" width="4.7109375" style="23" customWidth="1"/>
    <col min="25" max="16384" width="14.421875" style="26" customWidth="1"/>
  </cols>
  <sheetData>
    <row r="1" spans="1:24" ht="17.25">
      <c r="A1" s="383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2" spans="1:18" ht="17.25">
      <c r="A2" s="157"/>
      <c r="B2" s="157"/>
      <c r="C2" s="157"/>
      <c r="D2" s="157"/>
      <c r="E2" s="157"/>
      <c r="F2" s="157"/>
      <c r="G2" s="15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4" ht="17.25">
      <c r="A3" s="399" t="s">
        <v>77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3.5" customHeight="1">
      <c r="A4" s="401" t="s">
        <v>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</row>
    <row r="5" spans="1:18" ht="8.25" customHeight="1">
      <c r="A5" s="157"/>
      <c r="B5" s="157"/>
      <c r="C5" s="157"/>
      <c r="D5" s="158"/>
      <c r="E5" s="158"/>
      <c r="F5" s="158"/>
      <c r="G5" s="158"/>
      <c r="H5" s="16"/>
      <c r="I5" s="16"/>
      <c r="J5" s="16"/>
      <c r="K5" s="16"/>
      <c r="L5" s="16"/>
      <c r="M5" s="16"/>
      <c r="N5" s="15"/>
      <c r="O5" s="15"/>
      <c r="P5" s="15"/>
      <c r="Q5" s="15"/>
      <c r="R5" s="15"/>
    </row>
    <row r="6" spans="1:24" ht="17.25">
      <c r="A6" s="402" t="s">
        <v>62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</row>
    <row r="7" spans="1:24" ht="13.5">
      <c r="A7" s="340" t="s">
        <v>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4" ht="17.25">
      <c r="A8" s="403" t="s">
        <v>58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</row>
    <row r="10" spans="1:24" ht="37.5" customHeight="1">
      <c r="A10" s="375" t="s">
        <v>57</v>
      </c>
      <c r="B10" s="375" t="s">
        <v>56</v>
      </c>
      <c r="C10" s="375" t="s">
        <v>3</v>
      </c>
      <c r="D10" s="375" t="s">
        <v>55</v>
      </c>
      <c r="E10" s="375" t="s">
        <v>4</v>
      </c>
      <c r="F10" s="375" t="s">
        <v>54</v>
      </c>
      <c r="G10" s="375" t="s">
        <v>53</v>
      </c>
      <c r="H10" s="373" t="s">
        <v>52</v>
      </c>
      <c r="I10" s="373" t="s">
        <v>20</v>
      </c>
      <c r="J10" s="369" t="s">
        <v>5</v>
      </c>
      <c r="K10" s="370"/>
      <c r="L10" s="370"/>
      <c r="M10" s="370"/>
      <c r="N10" s="371"/>
      <c r="O10" s="369" t="s">
        <v>5</v>
      </c>
      <c r="P10" s="370"/>
      <c r="Q10" s="370"/>
      <c r="R10" s="370"/>
      <c r="S10" s="371"/>
      <c r="T10" s="369" t="s">
        <v>5</v>
      </c>
      <c r="U10" s="370"/>
      <c r="V10" s="370"/>
      <c r="W10" s="370"/>
      <c r="X10" s="371"/>
    </row>
    <row r="11" spans="1:24" ht="27.75" customHeight="1">
      <c r="A11" s="376"/>
      <c r="B11" s="376"/>
      <c r="C11" s="376"/>
      <c r="D11" s="376"/>
      <c r="E11" s="376"/>
      <c r="F11" s="376"/>
      <c r="G11" s="376"/>
      <c r="H11" s="378"/>
      <c r="I11" s="378"/>
      <c r="J11" s="369" t="s">
        <v>6</v>
      </c>
      <c r="K11" s="370"/>
      <c r="L11" s="370"/>
      <c r="M11" s="370"/>
      <c r="N11" s="371"/>
      <c r="O11" s="369" t="s">
        <v>7</v>
      </c>
      <c r="P11" s="370"/>
      <c r="Q11" s="370"/>
      <c r="R11" s="370"/>
      <c r="S11" s="371"/>
      <c r="T11" s="369" t="s">
        <v>51</v>
      </c>
      <c r="U11" s="370"/>
      <c r="V11" s="370"/>
      <c r="W11" s="370"/>
      <c r="X11" s="371"/>
    </row>
    <row r="12" spans="1:24" ht="30" customHeight="1">
      <c r="A12" s="376"/>
      <c r="B12" s="376"/>
      <c r="C12" s="376"/>
      <c r="D12" s="376"/>
      <c r="E12" s="376"/>
      <c r="F12" s="376"/>
      <c r="G12" s="376"/>
      <c r="H12" s="378"/>
      <c r="I12" s="378"/>
      <c r="J12" s="373" t="s">
        <v>8</v>
      </c>
      <c r="K12" s="369" t="s">
        <v>9</v>
      </c>
      <c r="L12" s="370"/>
      <c r="M12" s="370"/>
      <c r="N12" s="371"/>
      <c r="O12" s="373" t="s">
        <v>8</v>
      </c>
      <c r="P12" s="369" t="s">
        <v>9</v>
      </c>
      <c r="Q12" s="370"/>
      <c r="R12" s="370"/>
      <c r="S12" s="371"/>
      <c r="T12" s="373" t="s">
        <v>8</v>
      </c>
      <c r="U12" s="369" t="s">
        <v>10</v>
      </c>
      <c r="V12" s="370"/>
      <c r="W12" s="370"/>
      <c r="X12" s="371"/>
    </row>
    <row r="13" spans="1:24" ht="24.75" customHeight="1">
      <c r="A13" s="377"/>
      <c r="B13" s="377"/>
      <c r="C13" s="377"/>
      <c r="D13" s="377"/>
      <c r="E13" s="377"/>
      <c r="F13" s="377"/>
      <c r="G13" s="377"/>
      <c r="H13" s="374"/>
      <c r="I13" s="374"/>
      <c r="J13" s="374"/>
      <c r="K13" s="159" t="s">
        <v>50</v>
      </c>
      <c r="L13" s="159" t="s">
        <v>49</v>
      </c>
      <c r="M13" s="159" t="s">
        <v>48</v>
      </c>
      <c r="N13" s="159" t="s">
        <v>47</v>
      </c>
      <c r="O13" s="374"/>
      <c r="P13" s="159" t="s">
        <v>11</v>
      </c>
      <c r="Q13" s="159" t="s">
        <v>12</v>
      </c>
      <c r="R13" s="159" t="s">
        <v>13</v>
      </c>
      <c r="S13" s="159" t="s">
        <v>14</v>
      </c>
      <c r="T13" s="374"/>
      <c r="U13" s="159" t="s">
        <v>11</v>
      </c>
      <c r="V13" s="159" t="s">
        <v>12</v>
      </c>
      <c r="W13" s="159" t="s">
        <v>13</v>
      </c>
      <c r="X13" s="159" t="s">
        <v>14</v>
      </c>
    </row>
    <row r="14" spans="1:24" ht="13.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</row>
    <row r="15" spans="1:24" ht="13.5">
      <c r="A15" s="395" t="s">
        <v>63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7"/>
    </row>
    <row r="16" spans="1:24" ht="66.75" customHeight="1">
      <c r="A16" s="155">
        <v>1</v>
      </c>
      <c r="B16" s="6" t="s">
        <v>167</v>
      </c>
      <c r="C16" s="6" t="s">
        <v>45</v>
      </c>
      <c r="D16" s="11" t="s">
        <v>162</v>
      </c>
      <c r="E16" s="398" t="s">
        <v>163</v>
      </c>
      <c r="F16" s="288" t="s">
        <v>280</v>
      </c>
      <c r="G16" s="155">
        <v>2020</v>
      </c>
      <c r="H16" s="9">
        <v>2037.926</v>
      </c>
      <c r="I16" s="9">
        <v>2037.926</v>
      </c>
      <c r="J16" s="9">
        <v>2037.926</v>
      </c>
      <c r="K16" s="10">
        <f>(J16-N16-M16)*95%</f>
        <v>1916.6694029999999</v>
      </c>
      <c r="L16" s="10">
        <f>(J16-N16-M16)*5%</f>
        <v>100.87733700000001</v>
      </c>
      <c r="M16" s="10">
        <f>(J16-N16-(H16-I16))*1%+(H16-I16)</f>
        <v>20.37926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81" customFormat="1" ht="67.5" customHeight="1">
      <c r="A17" s="79">
        <v>2</v>
      </c>
      <c r="B17" s="6" t="s">
        <v>167</v>
      </c>
      <c r="C17" s="80" t="s">
        <v>45</v>
      </c>
      <c r="D17" s="11" t="s">
        <v>207</v>
      </c>
      <c r="E17" s="398"/>
      <c r="F17" s="288" t="s">
        <v>280</v>
      </c>
      <c r="G17" s="79">
        <v>2020</v>
      </c>
      <c r="H17" s="13">
        <v>1411.89</v>
      </c>
      <c r="I17" s="13">
        <v>1411.89</v>
      </c>
      <c r="J17" s="13">
        <v>1411.89</v>
      </c>
      <c r="K17" s="10">
        <f>(J17-N17-M17)*95%</f>
        <v>1327.8825450000002</v>
      </c>
      <c r="L17" s="10">
        <f>(J17-N17-M17)*5%</f>
        <v>69.88855500000001</v>
      </c>
      <c r="M17" s="10">
        <f>(J17-N17-(H17-I17))*1%+(H17-I17)</f>
        <v>14.118900000000002</v>
      </c>
      <c r="N17" s="10"/>
      <c r="O17" s="13"/>
      <c r="P17" s="10"/>
      <c r="Q17" s="10"/>
      <c r="R17" s="10"/>
      <c r="S17" s="14"/>
      <c r="T17" s="13"/>
      <c r="U17" s="10"/>
      <c r="V17" s="10"/>
      <c r="W17" s="10"/>
      <c r="X17" s="13"/>
    </row>
    <row r="18" spans="1:24" ht="66">
      <c r="A18" s="160">
        <v>3</v>
      </c>
      <c r="B18" s="161" t="s">
        <v>167</v>
      </c>
      <c r="C18" s="161" t="s">
        <v>45</v>
      </c>
      <c r="D18" s="11" t="s">
        <v>239</v>
      </c>
      <c r="E18" s="398"/>
      <c r="F18" s="160" t="s">
        <v>44</v>
      </c>
      <c r="G18" s="160">
        <v>2020</v>
      </c>
      <c r="H18" s="162">
        <v>1600</v>
      </c>
      <c r="I18" s="162">
        <v>1600</v>
      </c>
      <c r="J18" s="162">
        <v>1600</v>
      </c>
      <c r="K18" s="10">
        <f>(J18-N18-M18)*95%</f>
        <v>1504.8</v>
      </c>
      <c r="L18" s="10">
        <f>(J18-N18-M18)*5%</f>
        <v>79.2</v>
      </c>
      <c r="M18" s="10">
        <f>(J18-N18-(H18-I18))*1%+(H18-I18)</f>
        <v>16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31.5" customHeight="1">
      <c r="A19" s="163"/>
      <c r="B19" s="164" t="s">
        <v>16</v>
      </c>
      <c r="C19" s="164" t="s">
        <v>16</v>
      </c>
      <c r="D19" s="101" t="s">
        <v>17</v>
      </c>
      <c r="E19" s="165" t="s">
        <v>16</v>
      </c>
      <c r="F19" s="165" t="s">
        <v>16</v>
      </c>
      <c r="G19" s="165" t="s">
        <v>16</v>
      </c>
      <c r="H19" s="18">
        <f aca="true" t="shared" si="0" ref="H19:M19">SUM(H16:H18)</f>
        <v>5049.816</v>
      </c>
      <c r="I19" s="18">
        <f t="shared" si="0"/>
        <v>5049.816</v>
      </c>
      <c r="J19" s="18">
        <f t="shared" si="0"/>
        <v>5049.816</v>
      </c>
      <c r="K19" s="18">
        <f t="shared" si="0"/>
        <v>4749.351948</v>
      </c>
      <c r="L19" s="18">
        <f t="shared" si="0"/>
        <v>249.965892</v>
      </c>
      <c r="M19" s="18">
        <f t="shared" si="0"/>
        <v>50.49816</v>
      </c>
      <c r="N19" s="18">
        <f aca="true" t="shared" si="1" ref="N19:X19">SUM(N16:N18)</f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</row>
    <row r="20" spans="1:24" ht="15.75" customHeight="1">
      <c r="A20" s="385" t="s">
        <v>72</v>
      </c>
      <c r="B20" s="386"/>
      <c r="C20" s="386"/>
      <c r="D20" s="386"/>
      <c r="E20" s="387"/>
      <c r="F20" s="386"/>
      <c r="G20" s="386"/>
      <c r="H20" s="387"/>
      <c r="I20" s="387"/>
      <c r="J20" s="387"/>
      <c r="K20" s="387"/>
      <c r="L20" s="387"/>
      <c r="M20" s="387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8"/>
    </row>
    <row r="21" spans="1:24" ht="162.75" customHeight="1">
      <c r="A21" s="51">
        <v>4</v>
      </c>
      <c r="B21" s="52" t="s">
        <v>167</v>
      </c>
      <c r="C21" s="52" t="s">
        <v>45</v>
      </c>
      <c r="D21" s="8" t="s">
        <v>208</v>
      </c>
      <c r="E21" s="166" t="s">
        <v>46</v>
      </c>
      <c r="F21" s="288" t="s">
        <v>280</v>
      </c>
      <c r="G21" s="167">
        <v>2020</v>
      </c>
      <c r="H21" s="9">
        <v>2337.5</v>
      </c>
      <c r="I21" s="9">
        <v>2337.5</v>
      </c>
      <c r="J21" s="9">
        <v>2337.5</v>
      </c>
      <c r="K21" s="10">
        <f>(J21-N21-M21)*95%</f>
        <v>2198.41875</v>
      </c>
      <c r="L21" s="10">
        <f>(J21-N21-M21)*5%</f>
        <v>115.70625000000001</v>
      </c>
      <c r="M21" s="10">
        <f>(J21-N21-(H21-I21))*1%+(H21-I21)</f>
        <v>23.375</v>
      </c>
      <c r="N21" s="98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31.5" customHeight="1">
      <c r="A22" s="163"/>
      <c r="B22" s="164" t="s">
        <v>16</v>
      </c>
      <c r="C22" s="164" t="s">
        <v>16</v>
      </c>
      <c r="D22" s="101" t="s">
        <v>17</v>
      </c>
      <c r="E22" s="165" t="s">
        <v>16</v>
      </c>
      <c r="F22" s="165" t="s">
        <v>16</v>
      </c>
      <c r="G22" s="165" t="s">
        <v>16</v>
      </c>
      <c r="H22" s="18">
        <f>SUM(H21)</f>
        <v>2337.5</v>
      </c>
      <c r="I22" s="18">
        <f aca="true" t="shared" si="2" ref="I22:U22">SUM(I21)</f>
        <v>2337.5</v>
      </c>
      <c r="J22" s="18">
        <f t="shared" si="2"/>
        <v>2337.5</v>
      </c>
      <c r="K22" s="18">
        <f t="shared" si="2"/>
        <v>2198.41875</v>
      </c>
      <c r="L22" s="18">
        <f t="shared" si="2"/>
        <v>115.70625000000001</v>
      </c>
      <c r="M22" s="18">
        <f t="shared" si="2"/>
        <v>23.375</v>
      </c>
      <c r="N22" s="18">
        <f t="shared" si="2"/>
        <v>0</v>
      </c>
      <c r="O22" s="18">
        <f t="shared" si="2"/>
        <v>0</v>
      </c>
      <c r="P22" s="18">
        <f t="shared" si="2"/>
        <v>0</v>
      </c>
      <c r="Q22" s="18">
        <f t="shared" si="2"/>
        <v>0</v>
      </c>
      <c r="R22" s="18">
        <f t="shared" si="2"/>
        <v>0</v>
      </c>
      <c r="S22" s="18">
        <f t="shared" si="2"/>
        <v>0</v>
      </c>
      <c r="T22" s="18">
        <f t="shared" si="2"/>
        <v>0</v>
      </c>
      <c r="U22" s="18">
        <f t="shared" si="2"/>
        <v>0</v>
      </c>
      <c r="V22" s="18">
        <f>SUM(V17:V21)</f>
        <v>0</v>
      </c>
      <c r="W22" s="18">
        <f>SUM(W17:W21)</f>
        <v>0</v>
      </c>
      <c r="X22" s="18">
        <f>SUM(X17:X21)</f>
        <v>0</v>
      </c>
    </row>
    <row r="23" spans="1:24" ht="15.75" customHeight="1">
      <c r="A23" s="385" t="s">
        <v>64</v>
      </c>
      <c r="B23" s="386"/>
      <c r="C23" s="386"/>
      <c r="D23" s="387"/>
      <c r="E23" s="386"/>
      <c r="F23" s="386"/>
      <c r="G23" s="386"/>
      <c r="H23" s="394"/>
      <c r="I23" s="394"/>
      <c r="J23" s="394"/>
      <c r="K23" s="394"/>
      <c r="L23" s="394"/>
      <c r="M23" s="394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8"/>
    </row>
    <row r="24" spans="1:24" ht="52.5">
      <c r="A24" s="51">
        <v>5</v>
      </c>
      <c r="B24" s="161" t="s">
        <v>167</v>
      </c>
      <c r="C24" s="8" t="s">
        <v>45</v>
      </c>
      <c r="D24" s="11" t="s">
        <v>164</v>
      </c>
      <c r="E24" s="168"/>
      <c r="F24" s="51" t="s">
        <v>44</v>
      </c>
      <c r="G24" s="51">
        <v>2020</v>
      </c>
      <c r="H24" s="305">
        <v>1500</v>
      </c>
      <c r="I24" s="305">
        <v>1500</v>
      </c>
      <c r="J24" s="305">
        <v>1500</v>
      </c>
      <c r="K24" s="10">
        <f>(J24-N24-M24)*95%</f>
        <v>1410.75</v>
      </c>
      <c r="L24" s="10">
        <f>(J24-N24-M24)*5%</f>
        <v>74.25</v>
      </c>
      <c r="M24" s="10">
        <f>(J24-N24-(H24-I24))*1%+(H24-I24)</f>
        <v>15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ht="73.5" customHeight="1">
      <c r="A25" s="51">
        <v>6</v>
      </c>
      <c r="B25" s="161" t="s">
        <v>167</v>
      </c>
      <c r="C25" s="52" t="s">
        <v>45</v>
      </c>
      <c r="D25" s="52" t="s">
        <v>291</v>
      </c>
      <c r="E25" s="168"/>
      <c r="F25" s="51" t="s">
        <v>44</v>
      </c>
      <c r="G25" s="51">
        <v>2020</v>
      </c>
      <c r="H25" s="53">
        <v>250</v>
      </c>
      <c r="I25" s="53">
        <v>250</v>
      </c>
      <c r="J25" s="53">
        <v>250</v>
      </c>
      <c r="K25" s="10">
        <f>(J25-N25-M25)*95%</f>
        <v>235.125</v>
      </c>
      <c r="L25" s="10">
        <f>(J25-N25-M25)*5%</f>
        <v>12.375</v>
      </c>
      <c r="M25" s="10">
        <f>(J25-N25-(H25-I25))*1%+(H25-I25)</f>
        <v>2.5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ht="66">
      <c r="A26" s="51">
        <v>7</v>
      </c>
      <c r="B26" s="161" t="s">
        <v>167</v>
      </c>
      <c r="C26" s="80" t="s">
        <v>45</v>
      </c>
      <c r="D26" s="30" t="s">
        <v>209</v>
      </c>
      <c r="E26" s="169"/>
      <c r="F26" s="288" t="s">
        <v>44</v>
      </c>
      <c r="G26" s="51">
        <v>2020</v>
      </c>
      <c r="H26" s="13">
        <v>1876.8</v>
      </c>
      <c r="I26" s="13">
        <v>1876.8</v>
      </c>
      <c r="J26" s="13">
        <v>1876.8</v>
      </c>
      <c r="K26" s="10">
        <f>(J26-N26-M26)*95%</f>
        <v>1765.1303999999998</v>
      </c>
      <c r="L26" s="10">
        <f>(J26-N26-M26)*5%</f>
        <v>92.9016</v>
      </c>
      <c r="M26" s="10">
        <f>(J26-N26-(H26-I26))*1%+(H26-I26)</f>
        <v>18.768</v>
      </c>
      <c r="N26" s="95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81" customHeight="1">
      <c r="A27" s="51">
        <v>8</v>
      </c>
      <c r="B27" s="161" t="s">
        <v>167</v>
      </c>
      <c r="C27" s="80" t="s">
        <v>45</v>
      </c>
      <c r="D27" s="30" t="s">
        <v>210</v>
      </c>
      <c r="E27" s="170"/>
      <c r="F27" s="79" t="s">
        <v>44</v>
      </c>
      <c r="G27" s="51">
        <v>2020</v>
      </c>
      <c r="H27" s="13">
        <v>500</v>
      </c>
      <c r="I27" s="13">
        <v>500</v>
      </c>
      <c r="J27" s="13">
        <v>500</v>
      </c>
      <c r="K27" s="10"/>
      <c r="L27" s="10"/>
      <c r="M27" s="10"/>
      <c r="N27" s="13">
        <v>500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27.75" customHeight="1">
      <c r="A28" s="54"/>
      <c r="B28" s="55" t="s">
        <v>16</v>
      </c>
      <c r="C28" s="55" t="s">
        <v>16</v>
      </c>
      <c r="D28" s="36" t="s">
        <v>17</v>
      </c>
      <c r="E28" s="36"/>
      <c r="F28" s="36"/>
      <c r="G28" s="36"/>
      <c r="H28" s="19">
        <f>SUM(H24:H27)</f>
        <v>4126.8</v>
      </c>
      <c r="I28" s="19">
        <f aca="true" t="shared" si="3" ref="I28:X28">SUM(I24:I27)</f>
        <v>4126.8</v>
      </c>
      <c r="J28" s="19">
        <f t="shared" si="3"/>
        <v>4126.8</v>
      </c>
      <c r="K28" s="19">
        <f t="shared" si="3"/>
        <v>3411.0054</v>
      </c>
      <c r="L28" s="19">
        <f t="shared" si="3"/>
        <v>179.5266</v>
      </c>
      <c r="M28" s="19">
        <f t="shared" si="3"/>
        <v>36.268</v>
      </c>
      <c r="N28" s="19">
        <f t="shared" si="3"/>
        <v>500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  <c r="W28" s="19">
        <f t="shared" si="3"/>
        <v>0</v>
      </c>
      <c r="X28" s="19">
        <f t="shared" si="3"/>
        <v>0</v>
      </c>
    </row>
    <row r="29" spans="1:24" ht="15.75" customHeight="1" hidden="1">
      <c r="A29" s="389" t="s">
        <v>66</v>
      </c>
      <c r="B29" s="390"/>
      <c r="C29" s="390"/>
      <c r="D29" s="390"/>
      <c r="E29" s="391"/>
      <c r="F29" s="390"/>
      <c r="G29" s="390"/>
      <c r="H29" s="391"/>
      <c r="I29" s="391"/>
      <c r="J29" s="391"/>
      <c r="K29" s="391"/>
      <c r="L29" s="391"/>
      <c r="M29" s="391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2"/>
    </row>
    <row r="30" spans="1:24" ht="162.75" customHeight="1" hidden="1">
      <c r="A30" s="51">
        <v>5</v>
      </c>
      <c r="B30" s="52" t="s">
        <v>15</v>
      </c>
      <c r="C30" s="52" t="s">
        <v>45</v>
      </c>
      <c r="D30" s="8"/>
      <c r="E30" s="166" t="s">
        <v>46</v>
      </c>
      <c r="F30" s="100"/>
      <c r="G30" s="167"/>
      <c r="H30" s="9"/>
      <c r="I30" s="9"/>
      <c r="J30" s="9"/>
      <c r="K30" s="10">
        <f>(J30-N30-M30)*95%</f>
        <v>0</v>
      </c>
      <c r="L30" s="10">
        <f>(J30-N30-M30)*5%</f>
        <v>0</v>
      </c>
      <c r="M30" s="10">
        <f>(J30-N30-(H30-I30))*1%+(H30-I30)</f>
        <v>0</v>
      </c>
      <c r="N30" s="98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ht="31.5" customHeight="1" hidden="1">
      <c r="A31" s="163"/>
      <c r="B31" s="164" t="s">
        <v>16</v>
      </c>
      <c r="C31" s="164" t="s">
        <v>16</v>
      </c>
      <c r="D31" s="101" t="s">
        <v>17</v>
      </c>
      <c r="E31" s="165" t="s">
        <v>16</v>
      </c>
      <c r="F31" s="165" t="s">
        <v>16</v>
      </c>
      <c r="G31" s="165" t="s">
        <v>16</v>
      </c>
      <c r="H31" s="18">
        <f aca="true" t="shared" si="4" ref="H31:U31">SUM(H30)</f>
        <v>0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8">
        <f t="shared" si="4"/>
        <v>0</v>
      </c>
      <c r="M31" s="18">
        <f t="shared" si="4"/>
        <v>0</v>
      </c>
      <c r="N31" s="18">
        <f t="shared" si="4"/>
        <v>0</v>
      </c>
      <c r="O31" s="18">
        <f t="shared" si="4"/>
        <v>0</v>
      </c>
      <c r="P31" s="18">
        <f t="shared" si="4"/>
        <v>0</v>
      </c>
      <c r="Q31" s="18">
        <f t="shared" si="4"/>
        <v>0</v>
      </c>
      <c r="R31" s="18">
        <f t="shared" si="4"/>
        <v>0</v>
      </c>
      <c r="S31" s="18">
        <f t="shared" si="4"/>
        <v>0</v>
      </c>
      <c r="T31" s="18">
        <f t="shared" si="4"/>
        <v>0</v>
      </c>
      <c r="U31" s="18">
        <f t="shared" si="4"/>
        <v>0</v>
      </c>
      <c r="V31" s="18">
        <f>SUM(V28:V30)</f>
        <v>0</v>
      </c>
      <c r="W31" s="18">
        <f>SUM(W28:W30)</f>
        <v>0</v>
      </c>
      <c r="X31" s="18">
        <f>SUM(X28:X30)</f>
        <v>0</v>
      </c>
    </row>
    <row r="32" spans="1:24" ht="31.5" customHeight="1">
      <c r="A32" s="54"/>
      <c r="B32" s="55" t="s">
        <v>16</v>
      </c>
      <c r="C32" s="55" t="s">
        <v>16</v>
      </c>
      <c r="D32" s="36" t="s">
        <v>18</v>
      </c>
      <c r="E32" s="171" t="s">
        <v>16</v>
      </c>
      <c r="F32" s="171" t="s">
        <v>16</v>
      </c>
      <c r="G32" s="171" t="s">
        <v>16</v>
      </c>
      <c r="H32" s="19">
        <f aca="true" t="shared" si="5" ref="H32:X32">H19+H22+H28+H31</f>
        <v>11514.116</v>
      </c>
      <c r="I32" s="19">
        <f t="shared" si="5"/>
        <v>11514.116</v>
      </c>
      <c r="J32" s="19">
        <f t="shared" si="5"/>
        <v>11514.116</v>
      </c>
      <c r="K32" s="19">
        <f t="shared" si="5"/>
        <v>10358.776098</v>
      </c>
      <c r="L32" s="19">
        <f t="shared" si="5"/>
        <v>545.198742</v>
      </c>
      <c r="M32" s="19">
        <f t="shared" si="5"/>
        <v>110.14116</v>
      </c>
      <c r="N32" s="19">
        <f t="shared" si="5"/>
        <v>500</v>
      </c>
      <c r="O32" s="19">
        <f t="shared" si="5"/>
        <v>0</v>
      </c>
      <c r="P32" s="19">
        <f t="shared" si="5"/>
        <v>0</v>
      </c>
      <c r="Q32" s="19">
        <f t="shared" si="5"/>
        <v>0</v>
      </c>
      <c r="R32" s="19">
        <f t="shared" si="5"/>
        <v>0</v>
      </c>
      <c r="S32" s="19">
        <f t="shared" si="5"/>
        <v>0</v>
      </c>
      <c r="T32" s="19">
        <f t="shared" si="5"/>
        <v>0</v>
      </c>
      <c r="U32" s="19">
        <f t="shared" si="5"/>
        <v>0</v>
      </c>
      <c r="V32" s="19">
        <f t="shared" si="5"/>
        <v>0</v>
      </c>
      <c r="W32" s="19">
        <f t="shared" si="5"/>
        <v>0</v>
      </c>
      <c r="X32" s="19">
        <f t="shared" si="5"/>
        <v>0</v>
      </c>
    </row>
    <row r="33" spans="1:24" ht="15.75" customHeight="1" hidden="1">
      <c r="A33" s="172"/>
      <c r="B33" s="172"/>
      <c r="C33" s="172"/>
      <c r="D33" s="172"/>
      <c r="E33" s="172"/>
      <c r="F33" s="172"/>
      <c r="G33" s="17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73"/>
      <c r="T33" s="173"/>
      <c r="U33" s="173"/>
      <c r="V33" s="173"/>
      <c r="W33" s="173"/>
      <c r="X33" s="173"/>
    </row>
    <row r="34" spans="1:18" ht="15.75" customHeight="1" hidden="1">
      <c r="A34" s="393" t="s">
        <v>43</v>
      </c>
      <c r="B34" s="368"/>
      <c r="C34" s="368"/>
      <c r="D34" s="174"/>
      <c r="E34" s="174"/>
      <c r="F34" s="174"/>
      <c r="G34" s="17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24" ht="13.5" hidden="1">
      <c r="A35" s="372" t="s">
        <v>42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</row>
    <row r="36" spans="1:23" ht="13.5" hidden="1">
      <c r="A36" s="367" t="s">
        <v>41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</row>
    <row r="37" spans="1:23" ht="13.5" hidden="1">
      <c r="A37" s="367" t="s">
        <v>40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</row>
    <row r="38" spans="1:23" ht="13.5" hidden="1">
      <c r="A38" s="367" t="s">
        <v>39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</row>
    <row r="39" spans="1:23" ht="13.5" hidden="1">
      <c r="A39" s="367" t="s">
        <v>38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</row>
    <row r="40" spans="1:23" ht="13.5" hidden="1">
      <c r="A40" s="367" t="s">
        <v>37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</row>
    <row r="41" spans="1:23" ht="13.5" hidden="1">
      <c r="A41" s="367" t="s">
        <v>36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</row>
    <row r="42" spans="1:23" ht="24.75" customHeight="1" hidden="1">
      <c r="A42" s="367" t="s">
        <v>35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</row>
    <row r="43" spans="1:23" ht="25.5" customHeight="1" hidden="1">
      <c r="A43" s="367" t="s">
        <v>34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</row>
    <row r="44" spans="1:23" ht="13.5" hidden="1">
      <c r="A44" s="367" t="s">
        <v>33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</row>
    <row r="45" spans="1:23" ht="13.5" hidden="1">
      <c r="A45" s="367" t="s">
        <v>32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</row>
    <row r="46" spans="1:23" ht="13.5" hidden="1">
      <c r="A46" s="367" t="s">
        <v>31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</row>
    <row r="47" spans="1:23" ht="13.5" hidden="1">
      <c r="A47" s="367" t="s">
        <v>30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</row>
    <row r="48" spans="1:18" ht="15.75" customHeight="1">
      <c r="A48" s="175"/>
      <c r="B48" s="175"/>
      <c r="C48" s="175"/>
      <c r="D48" s="175"/>
      <c r="E48" s="175"/>
      <c r="F48" s="176"/>
      <c r="G48" s="176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5.75" customHeight="1">
      <c r="A49" s="176"/>
      <c r="B49" s="176"/>
      <c r="C49" s="176"/>
      <c r="D49" s="176"/>
      <c r="E49" s="176"/>
      <c r="F49" s="176"/>
      <c r="G49" s="176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ht="56.25" customHeight="1"/>
    <row r="51" spans="1:24" s="127" customFormat="1" ht="22.5" customHeight="1">
      <c r="A51" s="344" t="s">
        <v>29</v>
      </c>
      <c r="B51" s="345"/>
      <c r="C51" s="345"/>
      <c r="D51" s="345"/>
      <c r="E51" s="345"/>
      <c r="F51" s="345"/>
      <c r="G51" s="154"/>
      <c r="H51" s="24"/>
      <c r="I51" s="24"/>
      <c r="J51" s="24"/>
      <c r="K51" s="24"/>
      <c r="L51" s="24"/>
      <c r="M51" s="24"/>
      <c r="N51" s="346" t="s">
        <v>28</v>
      </c>
      <c r="O51" s="347"/>
      <c r="P51" s="347"/>
      <c r="Q51" s="126"/>
      <c r="R51" s="346"/>
      <c r="S51" s="347"/>
      <c r="T51" s="347"/>
      <c r="U51" s="24"/>
      <c r="V51" s="24"/>
      <c r="W51" s="24"/>
      <c r="X51" s="24"/>
    </row>
    <row r="52" spans="1:24" ht="87" customHeight="1">
      <c r="A52" s="128"/>
      <c r="B52" s="128"/>
      <c r="C52" s="128"/>
      <c r="D52" s="128"/>
      <c r="E52" s="128"/>
      <c r="F52" s="128"/>
      <c r="G52" s="130"/>
      <c r="H52" s="25"/>
      <c r="I52" s="25"/>
      <c r="J52" s="25"/>
      <c r="K52" s="25"/>
      <c r="L52" s="25"/>
      <c r="M52" s="25"/>
      <c r="N52" s="340"/>
      <c r="O52" s="341"/>
      <c r="P52" s="341"/>
      <c r="Q52" s="131"/>
      <c r="R52" s="340"/>
      <c r="S52" s="341"/>
      <c r="T52" s="341"/>
      <c r="U52" s="25"/>
      <c r="V52" s="25"/>
      <c r="W52" s="25"/>
      <c r="X52" s="25"/>
    </row>
    <row r="53" spans="1:24" ht="20.25" customHeight="1">
      <c r="A53" s="132" t="s">
        <v>19</v>
      </c>
      <c r="B53" s="133"/>
      <c r="C53" s="132"/>
      <c r="D53" s="132"/>
      <c r="E53" s="128"/>
      <c r="F53" s="128"/>
      <c r="G53" s="130"/>
      <c r="H53" s="25"/>
      <c r="I53" s="25"/>
      <c r="J53" s="25"/>
      <c r="K53" s="25"/>
      <c r="L53" s="25"/>
      <c r="M53" s="25"/>
      <c r="N53" s="131"/>
      <c r="O53" s="131"/>
      <c r="P53" s="131"/>
      <c r="Q53" s="131"/>
      <c r="R53" s="131"/>
      <c r="S53" s="25"/>
      <c r="T53" s="25"/>
      <c r="U53" s="25"/>
      <c r="V53" s="25"/>
      <c r="W53" s="25"/>
      <c r="X53" s="25"/>
    </row>
    <row r="54" spans="1:24" ht="20.25" customHeight="1">
      <c r="A54" s="132" t="s">
        <v>27</v>
      </c>
      <c r="B54" s="132"/>
      <c r="C54" s="132"/>
      <c r="D54" s="132"/>
      <c r="E54" s="128"/>
      <c r="F54" s="128"/>
      <c r="G54" s="130"/>
      <c r="H54" s="25"/>
      <c r="I54" s="25"/>
      <c r="J54" s="25"/>
      <c r="K54" s="25"/>
      <c r="L54" s="25"/>
      <c r="M54" s="25"/>
      <c r="N54" s="131"/>
      <c r="O54" s="131"/>
      <c r="P54" s="131"/>
      <c r="Q54" s="131"/>
      <c r="R54" s="131"/>
      <c r="S54" s="25"/>
      <c r="T54" s="25"/>
      <c r="U54" s="25"/>
      <c r="V54" s="25"/>
      <c r="W54" s="25"/>
      <c r="X54" s="25"/>
    </row>
    <row r="55" spans="1:24" ht="38.25" customHeight="1">
      <c r="A55" s="379"/>
      <c r="B55" s="380"/>
      <c r="C55" s="380"/>
      <c r="D55" s="380"/>
      <c r="E55" s="380"/>
      <c r="F55" s="380"/>
      <c r="G55" s="130"/>
      <c r="H55" s="25"/>
      <c r="I55" s="25"/>
      <c r="J55" s="25"/>
      <c r="K55" s="25"/>
      <c r="L55" s="25"/>
      <c r="M55" s="25"/>
      <c r="N55" s="340"/>
      <c r="O55" s="341"/>
      <c r="P55" s="341"/>
      <c r="Q55" s="25"/>
      <c r="R55" s="384"/>
      <c r="S55" s="341"/>
      <c r="T55" s="341"/>
      <c r="U55" s="25"/>
      <c r="V55" s="382"/>
      <c r="W55" s="341"/>
      <c r="X55" s="25"/>
    </row>
    <row r="56" spans="1:24" ht="15.75" customHeight="1">
      <c r="A56" s="130"/>
      <c r="B56" s="130"/>
      <c r="C56" s="130"/>
      <c r="D56" s="130"/>
      <c r="E56" s="130"/>
      <c r="F56" s="130"/>
      <c r="G56" s="130"/>
      <c r="H56" s="25"/>
      <c r="I56" s="25"/>
      <c r="J56" s="25"/>
      <c r="K56" s="25"/>
      <c r="L56" s="25"/>
      <c r="M56" s="25"/>
      <c r="N56" s="340"/>
      <c r="O56" s="341"/>
      <c r="P56" s="341"/>
      <c r="Q56" s="25"/>
      <c r="R56" s="340"/>
      <c r="S56" s="341"/>
      <c r="T56" s="341"/>
      <c r="U56" s="25"/>
      <c r="V56" s="381"/>
      <c r="W56" s="341"/>
      <c r="X56" s="25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spans="8:24" ht="15.75" customHeight="1"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8:24" ht="15.75" customHeight="1"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8:24" ht="15.75" customHeight="1"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8:24" ht="15.75" customHeight="1"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8:24" ht="15.75" customHeight="1"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8:24" ht="15.75" customHeight="1"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8:24" ht="15.75" customHeight="1"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8:24" ht="15.75" customHeight="1"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8:24" ht="15.75" customHeight="1"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8:24" ht="15.75" customHeight="1"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8:24" ht="15.75" customHeight="1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8:24" ht="15.75" customHeight="1"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8:24" ht="15.75" customHeight="1"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8:24" ht="15.75" customHeight="1"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8:24" ht="15.75" customHeight="1"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8:24" ht="15.75" customHeight="1"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8:24" ht="15.75" customHeight="1"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8:24" ht="15.75" customHeight="1"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8:24" ht="15.75" customHeight="1"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8:24" ht="15.75" customHeight="1"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8:24" ht="15.75" customHeight="1"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8:24" ht="15.75" customHeight="1"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8:24" ht="15.75" customHeight="1"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8:24" ht="15.75" customHeight="1"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8:24" ht="15.75" customHeight="1"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8:24" ht="15.75" customHeight="1"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8:24" ht="15.75" customHeight="1"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8:24" ht="15.75" customHeight="1"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8:24" ht="15.75" customHeight="1"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8:24" ht="15.75" customHeight="1"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8:24" ht="15.75" customHeight="1"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8:24" ht="15.75" customHeight="1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8:24" ht="15.75" customHeight="1"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8:24" ht="15.75" customHeight="1"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8:24" ht="15.75" customHeight="1"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8:24" ht="15.75" customHeight="1"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8:24" ht="15.75" customHeight="1"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8:24" ht="15.75" customHeight="1"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8:24" ht="15.75" customHeight="1"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8:24" ht="15.75" customHeight="1"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8:24" ht="15.75" customHeight="1"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spans="8:24" ht="15.75" customHeight="1"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</sheetData>
  <sheetProtection/>
  <mergeCells count="58">
    <mergeCell ref="A3:X3"/>
    <mergeCell ref="A4:X4"/>
    <mergeCell ref="A6:X6"/>
    <mergeCell ref="A7:X7"/>
    <mergeCell ref="A8:X8"/>
    <mergeCell ref="D10:D13"/>
    <mergeCell ref="O10:S10"/>
    <mergeCell ref="T10:X10"/>
    <mergeCell ref="U12:X12"/>
    <mergeCell ref="J12:J13"/>
    <mergeCell ref="A20:X20"/>
    <mergeCell ref="C10:C13"/>
    <mergeCell ref="T11:X11"/>
    <mergeCell ref="A36:W36"/>
    <mergeCell ref="T12:T13"/>
    <mergeCell ref="A29:X29"/>
    <mergeCell ref="A34:C34"/>
    <mergeCell ref="A23:X23"/>
    <mergeCell ref="A15:X15"/>
    <mergeCell ref="E16:E18"/>
    <mergeCell ref="F10:F13"/>
    <mergeCell ref="A42:W42"/>
    <mergeCell ref="N56:P56"/>
    <mergeCell ref="A51:F51"/>
    <mergeCell ref="R52:T52"/>
    <mergeCell ref="R51:T51"/>
    <mergeCell ref="A47:W47"/>
    <mergeCell ref="N51:P51"/>
    <mergeCell ref="R56:T56"/>
    <mergeCell ref="R55:T55"/>
    <mergeCell ref="A39:W39"/>
    <mergeCell ref="A1:X1"/>
    <mergeCell ref="J11:N11"/>
    <mergeCell ref="O11:S11"/>
    <mergeCell ref="A43:W43"/>
    <mergeCell ref="B10:B13"/>
    <mergeCell ref="E10:E13"/>
    <mergeCell ref="H10:H13"/>
    <mergeCell ref="J10:N10"/>
    <mergeCell ref="A38:W38"/>
    <mergeCell ref="A55:F55"/>
    <mergeCell ref="A44:W44"/>
    <mergeCell ref="A45:W45"/>
    <mergeCell ref="V56:W56"/>
    <mergeCell ref="N52:P52"/>
    <mergeCell ref="N55:P55"/>
    <mergeCell ref="V55:W55"/>
    <mergeCell ref="A46:W46"/>
    <mergeCell ref="A41:W41"/>
    <mergeCell ref="P12:S12"/>
    <mergeCell ref="K12:N12"/>
    <mergeCell ref="A35:X35"/>
    <mergeCell ref="O12:O13"/>
    <mergeCell ref="A10:A13"/>
    <mergeCell ref="A40:W40"/>
    <mergeCell ref="I10:I13"/>
    <mergeCell ref="G10:G13"/>
    <mergeCell ref="A37:W37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  <rowBreaks count="1" manualBreakCount="1">
    <brk id="2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SheetLayoutView="90" zoomScalePageLayoutView="0" workbookViewId="0" topLeftCell="A13">
      <selection activeCell="F16" sqref="F16"/>
    </sheetView>
  </sheetViews>
  <sheetFormatPr defaultColWidth="14.421875" defaultRowHeight="15" customHeight="1"/>
  <cols>
    <col min="1" max="1" width="5.8515625" style="26" customWidth="1"/>
    <col min="2" max="2" width="16.57421875" style="26" customWidth="1"/>
    <col min="3" max="3" width="13.8515625" style="26" customWidth="1"/>
    <col min="4" max="4" width="19.28125" style="26" customWidth="1"/>
    <col min="5" max="5" width="15.421875" style="26" customWidth="1"/>
    <col min="6" max="6" width="16.7109375" style="26" customWidth="1"/>
    <col min="7" max="7" width="12.57421875" style="26" customWidth="1"/>
    <col min="8" max="8" width="11.8515625" style="23" customWidth="1"/>
    <col min="9" max="9" width="13.7109375" style="23" customWidth="1"/>
    <col min="10" max="10" width="9.7109375" style="23" customWidth="1"/>
    <col min="11" max="11" width="10.140625" style="23" customWidth="1"/>
    <col min="12" max="13" width="8.7109375" style="23" customWidth="1"/>
    <col min="14" max="14" width="9.140625" style="23" customWidth="1"/>
    <col min="15" max="17" width="8.7109375" style="23" customWidth="1"/>
    <col min="18" max="18" width="6.8515625" style="23" customWidth="1"/>
    <col min="19" max="19" width="4.28125" style="23" customWidth="1"/>
    <col min="20" max="23" width="8.7109375" style="23" customWidth="1"/>
    <col min="24" max="24" width="4.7109375" style="23" customWidth="1"/>
    <col min="25" max="16384" width="14.421875" style="26" customWidth="1"/>
  </cols>
  <sheetData>
    <row r="1" spans="1:24" ht="17.25">
      <c r="A1" s="383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2" spans="1:18" ht="17.25">
      <c r="A2" s="157"/>
      <c r="B2" s="157"/>
      <c r="C2" s="157"/>
      <c r="D2" s="157"/>
      <c r="E2" s="157"/>
      <c r="F2" s="157"/>
      <c r="G2" s="15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4" ht="17.25">
      <c r="A3" s="399" t="s">
        <v>79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4" spans="1:24" ht="18.75" customHeight="1">
      <c r="A4" s="401" t="s">
        <v>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</row>
    <row r="5" spans="1:18" ht="8.25" customHeight="1">
      <c r="A5" s="157"/>
      <c r="B5" s="157"/>
      <c r="C5" s="157"/>
      <c r="D5" s="158"/>
      <c r="E5" s="158"/>
      <c r="F5" s="158"/>
      <c r="G5" s="158"/>
      <c r="H5" s="16"/>
      <c r="I5" s="16"/>
      <c r="J5" s="16"/>
      <c r="K5" s="16"/>
      <c r="L5" s="16"/>
      <c r="M5" s="16"/>
      <c r="N5" s="15"/>
      <c r="O5" s="15"/>
      <c r="P5" s="15"/>
      <c r="Q5" s="15"/>
      <c r="R5" s="15"/>
    </row>
    <row r="6" spans="1:24" ht="17.25">
      <c r="A6" s="402" t="s">
        <v>62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</row>
    <row r="7" spans="1:24" ht="13.5">
      <c r="A7" s="340" t="s">
        <v>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4" ht="22.5" customHeight="1">
      <c r="A8" s="403" t="s">
        <v>58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</row>
    <row r="10" spans="1:24" ht="37.5" customHeight="1">
      <c r="A10" s="375" t="s">
        <v>57</v>
      </c>
      <c r="B10" s="375" t="s">
        <v>56</v>
      </c>
      <c r="C10" s="375" t="s">
        <v>3</v>
      </c>
      <c r="D10" s="375" t="s">
        <v>55</v>
      </c>
      <c r="E10" s="375" t="s">
        <v>4</v>
      </c>
      <c r="F10" s="375" t="s">
        <v>54</v>
      </c>
      <c r="G10" s="375" t="s">
        <v>53</v>
      </c>
      <c r="H10" s="373" t="s">
        <v>52</v>
      </c>
      <c r="I10" s="373" t="s">
        <v>20</v>
      </c>
      <c r="J10" s="369" t="s">
        <v>5</v>
      </c>
      <c r="K10" s="370"/>
      <c r="L10" s="370"/>
      <c r="M10" s="370"/>
      <c r="N10" s="371"/>
      <c r="O10" s="369" t="s">
        <v>5</v>
      </c>
      <c r="P10" s="370"/>
      <c r="Q10" s="370"/>
      <c r="R10" s="370"/>
      <c r="S10" s="371"/>
      <c r="T10" s="369" t="s">
        <v>5</v>
      </c>
      <c r="U10" s="370"/>
      <c r="V10" s="370"/>
      <c r="W10" s="370"/>
      <c r="X10" s="371"/>
    </row>
    <row r="11" spans="1:24" ht="27.75" customHeight="1">
      <c r="A11" s="376"/>
      <c r="B11" s="376"/>
      <c r="C11" s="376"/>
      <c r="D11" s="376"/>
      <c r="E11" s="376"/>
      <c r="F11" s="376"/>
      <c r="G11" s="376"/>
      <c r="H11" s="378"/>
      <c r="I11" s="378"/>
      <c r="J11" s="369" t="s">
        <v>6</v>
      </c>
      <c r="K11" s="370"/>
      <c r="L11" s="370"/>
      <c r="M11" s="370"/>
      <c r="N11" s="371"/>
      <c r="O11" s="369" t="s">
        <v>7</v>
      </c>
      <c r="P11" s="370"/>
      <c r="Q11" s="370"/>
      <c r="R11" s="370"/>
      <c r="S11" s="371"/>
      <c r="T11" s="369" t="s">
        <v>51</v>
      </c>
      <c r="U11" s="370"/>
      <c r="V11" s="370"/>
      <c r="W11" s="370"/>
      <c r="X11" s="371"/>
    </row>
    <row r="12" spans="1:24" ht="30" customHeight="1">
      <c r="A12" s="376"/>
      <c r="B12" s="376"/>
      <c r="C12" s="376"/>
      <c r="D12" s="376"/>
      <c r="E12" s="376"/>
      <c r="F12" s="376"/>
      <c r="G12" s="376"/>
      <c r="H12" s="378"/>
      <c r="I12" s="378"/>
      <c r="J12" s="373" t="s">
        <v>8</v>
      </c>
      <c r="K12" s="369" t="s">
        <v>9</v>
      </c>
      <c r="L12" s="370"/>
      <c r="M12" s="370"/>
      <c r="N12" s="371"/>
      <c r="O12" s="373" t="s">
        <v>8</v>
      </c>
      <c r="P12" s="369" t="s">
        <v>9</v>
      </c>
      <c r="Q12" s="370"/>
      <c r="R12" s="370"/>
      <c r="S12" s="371"/>
      <c r="T12" s="373" t="s">
        <v>8</v>
      </c>
      <c r="U12" s="369" t="s">
        <v>10</v>
      </c>
      <c r="V12" s="370"/>
      <c r="W12" s="370"/>
      <c r="X12" s="371"/>
    </row>
    <row r="13" spans="1:24" ht="24.75" customHeight="1">
      <c r="A13" s="377"/>
      <c r="B13" s="377"/>
      <c r="C13" s="377"/>
      <c r="D13" s="377"/>
      <c r="E13" s="377"/>
      <c r="F13" s="377"/>
      <c r="G13" s="377"/>
      <c r="H13" s="374"/>
      <c r="I13" s="374"/>
      <c r="J13" s="374"/>
      <c r="K13" s="159" t="s">
        <v>50</v>
      </c>
      <c r="L13" s="159" t="s">
        <v>49</v>
      </c>
      <c r="M13" s="159" t="s">
        <v>48</v>
      </c>
      <c r="N13" s="159" t="s">
        <v>47</v>
      </c>
      <c r="O13" s="374"/>
      <c r="P13" s="159" t="s">
        <v>11</v>
      </c>
      <c r="Q13" s="159" t="s">
        <v>12</v>
      </c>
      <c r="R13" s="159" t="s">
        <v>13</v>
      </c>
      <c r="S13" s="159" t="s">
        <v>14</v>
      </c>
      <c r="T13" s="374"/>
      <c r="U13" s="159" t="s">
        <v>11</v>
      </c>
      <c r="V13" s="159" t="s">
        <v>12</v>
      </c>
      <c r="W13" s="159" t="s">
        <v>13</v>
      </c>
      <c r="X13" s="159" t="s">
        <v>14</v>
      </c>
    </row>
    <row r="14" spans="1:24" ht="13.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</row>
    <row r="15" spans="1:24" ht="13.5">
      <c r="A15" s="404" t="s">
        <v>63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6"/>
    </row>
    <row r="16" spans="1:24" s="178" customFormat="1" ht="101.25" customHeight="1">
      <c r="A16" s="37">
        <v>1</v>
      </c>
      <c r="B16" s="11" t="s">
        <v>167</v>
      </c>
      <c r="C16" s="11" t="s">
        <v>165</v>
      </c>
      <c r="D16" s="177" t="s">
        <v>211</v>
      </c>
      <c r="E16" s="408" t="s">
        <v>59</v>
      </c>
      <c r="F16" s="288" t="s">
        <v>280</v>
      </c>
      <c r="G16" s="156">
        <v>2020</v>
      </c>
      <c r="H16" s="10">
        <v>1346.12</v>
      </c>
      <c r="I16" s="10">
        <v>1346.12</v>
      </c>
      <c r="J16" s="10">
        <v>1346.12</v>
      </c>
      <c r="K16" s="10">
        <f>(J16-N16-M16)*95%</f>
        <v>1266.02586</v>
      </c>
      <c r="L16" s="10">
        <f>(J16-N16-M16)*5%</f>
        <v>66.63294</v>
      </c>
      <c r="M16" s="10">
        <f>(J16-N16-(H16-I16))*1%+(H16-I16)</f>
        <v>13.4612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57.75" customHeight="1">
      <c r="A17" s="179">
        <v>2</v>
      </c>
      <c r="B17" s="180" t="s">
        <v>167</v>
      </c>
      <c r="C17" s="181" t="s">
        <v>165</v>
      </c>
      <c r="D17" s="73" t="s">
        <v>242</v>
      </c>
      <c r="E17" s="409"/>
      <c r="F17" s="74" t="s">
        <v>44</v>
      </c>
      <c r="G17" s="155">
        <v>2020</v>
      </c>
      <c r="H17" s="9">
        <v>1600</v>
      </c>
      <c r="I17" s="9">
        <v>1600</v>
      </c>
      <c r="J17" s="9">
        <v>1600</v>
      </c>
      <c r="K17" s="10">
        <f>(J17-N17-M17)*95%</f>
        <v>1504.8</v>
      </c>
      <c r="L17" s="10">
        <f>(J17-N17-M17)*5%</f>
        <v>79.2</v>
      </c>
      <c r="M17" s="10">
        <f>(J17-N17-(H17-I17))*1%+(H17-I17)</f>
        <v>16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ht="31.5" customHeight="1">
      <c r="A18" s="54"/>
      <c r="B18" s="55" t="s">
        <v>16</v>
      </c>
      <c r="C18" s="55" t="s">
        <v>16</v>
      </c>
      <c r="D18" s="36" t="s">
        <v>17</v>
      </c>
      <c r="E18" s="171" t="s">
        <v>16</v>
      </c>
      <c r="F18" s="171" t="s">
        <v>16</v>
      </c>
      <c r="G18" s="171" t="s">
        <v>16</v>
      </c>
      <c r="H18" s="19">
        <f>SUM(H16:H17)</f>
        <v>2946.12</v>
      </c>
      <c r="I18" s="19">
        <f aca="true" t="shared" si="0" ref="I18:X18">SUM(I16:I17)</f>
        <v>2946.12</v>
      </c>
      <c r="J18" s="19">
        <f t="shared" si="0"/>
        <v>2946.12</v>
      </c>
      <c r="K18" s="19">
        <f t="shared" si="0"/>
        <v>2770.82586</v>
      </c>
      <c r="L18" s="19">
        <f t="shared" si="0"/>
        <v>145.83294</v>
      </c>
      <c r="M18" s="19">
        <f t="shared" si="0"/>
        <v>29.461199999999998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f t="shared" si="0"/>
        <v>0</v>
      </c>
      <c r="W18" s="19">
        <f t="shared" si="0"/>
        <v>0</v>
      </c>
      <c r="X18" s="19">
        <f t="shared" si="0"/>
        <v>0</v>
      </c>
    </row>
    <row r="19" spans="1:24" ht="15.75" customHeight="1">
      <c r="A19" s="404" t="s">
        <v>65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6"/>
    </row>
    <row r="20" spans="1:24" ht="75.75" customHeight="1">
      <c r="A20" s="51">
        <v>3</v>
      </c>
      <c r="B20" s="180" t="s">
        <v>167</v>
      </c>
      <c r="C20" s="52" t="s">
        <v>165</v>
      </c>
      <c r="D20" s="8" t="s">
        <v>212</v>
      </c>
      <c r="E20" s="184"/>
      <c r="F20" s="100" t="s">
        <v>44</v>
      </c>
      <c r="G20" s="51">
        <v>2020</v>
      </c>
      <c r="H20" s="53">
        <v>700</v>
      </c>
      <c r="I20" s="53">
        <v>700</v>
      </c>
      <c r="J20" s="53">
        <v>700</v>
      </c>
      <c r="K20" s="10">
        <f>(J20-N20-M20)*95%</f>
        <v>0</v>
      </c>
      <c r="L20" s="10">
        <f>(J20-N20-M20)*5%</f>
        <v>0</v>
      </c>
      <c r="M20" s="10">
        <f>(J20-N20-(H20-I20))*1%+(H20-I20)</f>
        <v>0</v>
      </c>
      <c r="N20" s="53">
        <v>700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ht="27.75" customHeight="1">
      <c r="A21" s="185"/>
      <c r="B21" s="186" t="s">
        <v>16</v>
      </c>
      <c r="C21" s="186" t="s">
        <v>16</v>
      </c>
      <c r="D21" s="187" t="s">
        <v>17</v>
      </c>
      <c r="E21" s="188"/>
      <c r="F21" s="189"/>
      <c r="G21" s="190"/>
      <c r="H21" s="191">
        <f>SUM(H20)</f>
        <v>700</v>
      </c>
      <c r="I21" s="191">
        <f aca="true" t="shared" si="1" ref="I21:P21">SUM(I20)</f>
        <v>700</v>
      </c>
      <c r="J21" s="191">
        <f t="shared" si="1"/>
        <v>700</v>
      </c>
      <c r="K21" s="191">
        <f t="shared" si="1"/>
        <v>0</v>
      </c>
      <c r="L21" s="191">
        <f t="shared" si="1"/>
        <v>0</v>
      </c>
      <c r="M21" s="191">
        <f t="shared" si="1"/>
        <v>0</v>
      </c>
      <c r="N21" s="191">
        <f t="shared" si="1"/>
        <v>700</v>
      </c>
      <c r="O21" s="191">
        <f t="shared" si="1"/>
        <v>0</v>
      </c>
      <c r="P21" s="191">
        <f t="shared" si="1"/>
        <v>0</v>
      </c>
      <c r="Q21" s="191">
        <f aca="true" t="shared" si="2" ref="Q21:X21">SUM(Q20)</f>
        <v>0</v>
      </c>
      <c r="R21" s="191">
        <f t="shared" si="2"/>
        <v>0</v>
      </c>
      <c r="S21" s="191">
        <f t="shared" si="2"/>
        <v>0</v>
      </c>
      <c r="T21" s="191">
        <f t="shared" si="2"/>
        <v>0</v>
      </c>
      <c r="U21" s="191">
        <f t="shared" si="2"/>
        <v>0</v>
      </c>
      <c r="V21" s="191">
        <f t="shared" si="2"/>
        <v>0</v>
      </c>
      <c r="W21" s="191">
        <f t="shared" si="2"/>
        <v>0</v>
      </c>
      <c r="X21" s="191">
        <f t="shared" si="2"/>
        <v>0</v>
      </c>
    </row>
    <row r="22" spans="1:24" ht="13.5" hidden="1">
      <c r="A22" s="407" t="s">
        <v>119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</row>
    <row r="23" spans="1:24" ht="54" customHeight="1" hidden="1">
      <c r="A23" s="27">
        <v>3</v>
      </c>
      <c r="B23" s="7" t="s">
        <v>15</v>
      </c>
      <c r="C23" s="7"/>
      <c r="D23" s="7"/>
      <c r="E23" s="39"/>
      <c r="F23" s="27"/>
      <c r="G23" s="27"/>
      <c r="H23" s="28"/>
      <c r="I23" s="28"/>
      <c r="J23" s="28"/>
      <c r="K23" s="10">
        <f>(J23-N23-M23)*95%</f>
        <v>0</v>
      </c>
      <c r="L23" s="10">
        <f>(J23-N23-M23)*5%</f>
        <v>0</v>
      </c>
      <c r="M23" s="10">
        <f>(J23-N23-(H23-I23))*1%+(H23-I23)</f>
        <v>0</v>
      </c>
      <c r="N23" s="29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31.5" customHeight="1" hidden="1">
      <c r="A24" s="54"/>
      <c r="B24" s="55" t="s">
        <v>16</v>
      </c>
      <c r="C24" s="55" t="s">
        <v>16</v>
      </c>
      <c r="D24" s="36" t="s">
        <v>17</v>
      </c>
      <c r="E24" s="171" t="s">
        <v>16</v>
      </c>
      <c r="F24" s="171" t="s">
        <v>16</v>
      </c>
      <c r="G24" s="171" t="s">
        <v>16</v>
      </c>
      <c r="H24" s="19">
        <f>SUM(H23:H23)</f>
        <v>0</v>
      </c>
      <c r="I24" s="19">
        <f aca="true" t="shared" si="3" ref="I24:X24">SUM(I23:I23)</f>
        <v>0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19">
        <f t="shared" si="3"/>
        <v>0</v>
      </c>
      <c r="O24" s="19">
        <f t="shared" si="3"/>
        <v>0</v>
      </c>
      <c r="P24" s="19">
        <f t="shared" si="3"/>
        <v>0</v>
      </c>
      <c r="Q24" s="19">
        <f t="shared" si="3"/>
        <v>0</v>
      </c>
      <c r="R24" s="19">
        <f t="shared" si="3"/>
        <v>0</v>
      </c>
      <c r="S24" s="19">
        <f t="shared" si="3"/>
        <v>0</v>
      </c>
      <c r="T24" s="19">
        <f t="shared" si="3"/>
        <v>0</v>
      </c>
      <c r="U24" s="19">
        <f t="shared" si="3"/>
        <v>0</v>
      </c>
      <c r="V24" s="19">
        <f t="shared" si="3"/>
        <v>0</v>
      </c>
      <c r="W24" s="19">
        <f t="shared" si="3"/>
        <v>0</v>
      </c>
      <c r="X24" s="19">
        <f t="shared" si="3"/>
        <v>0</v>
      </c>
    </row>
    <row r="25" spans="1:24" ht="31.5" customHeight="1">
      <c r="A25" s="54"/>
      <c r="B25" s="55" t="s">
        <v>16</v>
      </c>
      <c r="C25" s="55" t="s">
        <v>16</v>
      </c>
      <c r="D25" s="36" t="s">
        <v>18</v>
      </c>
      <c r="E25" s="171" t="s">
        <v>16</v>
      </c>
      <c r="F25" s="171" t="s">
        <v>16</v>
      </c>
      <c r="G25" s="171" t="s">
        <v>16</v>
      </c>
      <c r="H25" s="19">
        <f aca="true" t="shared" si="4" ref="H25:X25">H18+H21+H24</f>
        <v>3646.12</v>
      </c>
      <c r="I25" s="19">
        <f t="shared" si="4"/>
        <v>3646.12</v>
      </c>
      <c r="J25" s="19">
        <f t="shared" si="4"/>
        <v>3646.12</v>
      </c>
      <c r="K25" s="19">
        <f t="shared" si="4"/>
        <v>2770.82586</v>
      </c>
      <c r="L25" s="19">
        <f t="shared" si="4"/>
        <v>145.83294</v>
      </c>
      <c r="M25" s="19">
        <f t="shared" si="4"/>
        <v>29.461199999999998</v>
      </c>
      <c r="N25" s="19">
        <f t="shared" si="4"/>
        <v>700</v>
      </c>
      <c r="O25" s="19">
        <f t="shared" si="4"/>
        <v>0</v>
      </c>
      <c r="P25" s="19">
        <f t="shared" si="4"/>
        <v>0</v>
      </c>
      <c r="Q25" s="19">
        <f t="shared" si="4"/>
        <v>0</v>
      </c>
      <c r="R25" s="19">
        <f t="shared" si="4"/>
        <v>0</v>
      </c>
      <c r="S25" s="19">
        <f t="shared" si="4"/>
        <v>0</v>
      </c>
      <c r="T25" s="19">
        <f t="shared" si="4"/>
        <v>0</v>
      </c>
      <c r="U25" s="19">
        <f t="shared" si="4"/>
        <v>0</v>
      </c>
      <c r="V25" s="19">
        <f t="shared" si="4"/>
        <v>0</v>
      </c>
      <c r="W25" s="19">
        <f t="shared" si="4"/>
        <v>0</v>
      </c>
      <c r="X25" s="19">
        <f t="shared" si="4"/>
        <v>0</v>
      </c>
    </row>
    <row r="26" spans="1:18" ht="15.75" customHeight="1" hidden="1">
      <c r="A26" s="393" t="s">
        <v>43</v>
      </c>
      <c r="B26" s="368"/>
      <c r="C26" s="368"/>
      <c r="D26" s="174"/>
      <c r="E26" s="174"/>
      <c r="F26" s="174"/>
      <c r="G26" s="17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24" ht="13.5" hidden="1">
      <c r="A27" s="372" t="s">
        <v>42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</row>
    <row r="28" spans="1:23" ht="13.5" hidden="1">
      <c r="A28" s="367" t="s">
        <v>41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</row>
    <row r="29" spans="1:23" ht="13.5" hidden="1">
      <c r="A29" s="367" t="s">
        <v>40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</row>
    <row r="30" spans="1:23" ht="13.5" hidden="1">
      <c r="A30" s="367" t="s">
        <v>39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</row>
    <row r="31" spans="1:23" ht="13.5" hidden="1">
      <c r="A31" s="367" t="s">
        <v>38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</row>
    <row r="32" spans="1:23" ht="13.5" hidden="1">
      <c r="A32" s="367" t="s">
        <v>37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</row>
    <row r="33" spans="1:23" ht="13.5" hidden="1">
      <c r="A33" s="367" t="s">
        <v>36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</row>
    <row r="34" spans="1:23" ht="24.75" customHeight="1" hidden="1">
      <c r="A34" s="367" t="s">
        <v>35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</row>
    <row r="35" spans="1:23" ht="25.5" customHeight="1" hidden="1">
      <c r="A35" s="367" t="s">
        <v>34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</row>
    <row r="36" spans="1:23" ht="13.5" hidden="1">
      <c r="A36" s="367" t="s">
        <v>33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</row>
    <row r="37" spans="1:23" ht="13.5" hidden="1">
      <c r="A37" s="367" t="s">
        <v>32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</row>
    <row r="38" spans="1:23" ht="13.5" hidden="1">
      <c r="A38" s="367" t="s">
        <v>31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</row>
    <row r="39" spans="1:23" ht="13.5" hidden="1">
      <c r="A39" s="367" t="s">
        <v>30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</row>
    <row r="40" spans="1:18" ht="15.75" customHeight="1">
      <c r="A40" s="175"/>
      <c r="B40" s="175"/>
      <c r="C40" s="175"/>
      <c r="D40" s="175"/>
      <c r="E40" s="175"/>
      <c r="F40" s="176"/>
      <c r="G40" s="17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.75" customHeight="1">
      <c r="A41" s="176"/>
      <c r="B41" s="176"/>
      <c r="C41" s="176"/>
      <c r="D41" s="176"/>
      <c r="E41" s="176"/>
      <c r="F41" s="176"/>
      <c r="G41" s="176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ht="15.75" customHeight="1"/>
    <row r="43" spans="1:24" s="127" customFormat="1" ht="22.5" customHeight="1">
      <c r="A43" s="344" t="s">
        <v>29</v>
      </c>
      <c r="B43" s="345"/>
      <c r="C43" s="345"/>
      <c r="D43" s="345"/>
      <c r="E43" s="345"/>
      <c r="F43" s="345"/>
      <c r="G43" s="154"/>
      <c r="H43" s="24"/>
      <c r="I43" s="24"/>
      <c r="J43" s="24"/>
      <c r="K43" s="24"/>
      <c r="L43" s="24"/>
      <c r="M43" s="24"/>
      <c r="N43" s="346" t="s">
        <v>28</v>
      </c>
      <c r="O43" s="347"/>
      <c r="P43" s="347"/>
      <c r="Q43" s="126"/>
      <c r="R43" s="346"/>
      <c r="S43" s="347"/>
      <c r="T43" s="347"/>
      <c r="U43" s="24"/>
      <c r="V43" s="24"/>
      <c r="W43" s="24"/>
      <c r="X43" s="24"/>
    </row>
    <row r="44" spans="1:24" ht="15.75" customHeight="1">
      <c r="A44" s="128"/>
      <c r="B44" s="128"/>
      <c r="C44" s="128"/>
      <c r="D44" s="128"/>
      <c r="E44" s="128"/>
      <c r="F44" s="128"/>
      <c r="G44" s="130"/>
      <c r="H44" s="25"/>
      <c r="I44" s="25"/>
      <c r="J44" s="25"/>
      <c r="K44" s="25"/>
      <c r="L44" s="25"/>
      <c r="M44" s="25"/>
      <c r="N44" s="340"/>
      <c r="O44" s="341"/>
      <c r="P44" s="341"/>
      <c r="Q44" s="131"/>
      <c r="R44" s="340"/>
      <c r="S44" s="341"/>
      <c r="T44" s="341"/>
      <c r="U44" s="25"/>
      <c r="V44" s="25"/>
      <c r="W44" s="25"/>
      <c r="X44" s="25"/>
    </row>
    <row r="45" spans="1:24" ht="15.75" customHeight="1">
      <c r="A45" s="132" t="s">
        <v>19</v>
      </c>
      <c r="B45" s="133"/>
      <c r="C45" s="132"/>
      <c r="D45" s="132"/>
      <c r="E45" s="128"/>
      <c r="F45" s="128"/>
      <c r="G45" s="130"/>
      <c r="H45" s="25"/>
      <c r="I45" s="25"/>
      <c r="J45" s="25"/>
      <c r="K45" s="25"/>
      <c r="L45" s="25"/>
      <c r="M45" s="25"/>
      <c r="N45" s="131"/>
      <c r="O45" s="131"/>
      <c r="P45" s="131"/>
      <c r="Q45" s="131"/>
      <c r="R45" s="131"/>
      <c r="S45" s="25"/>
      <c r="T45" s="25"/>
      <c r="U45" s="25"/>
      <c r="V45" s="25"/>
      <c r="W45" s="25"/>
      <c r="X45" s="25"/>
    </row>
    <row r="46" spans="1:24" ht="20.25" customHeight="1">
      <c r="A46" s="132" t="s">
        <v>27</v>
      </c>
      <c r="B46" s="132"/>
      <c r="C46" s="132"/>
      <c r="D46" s="132"/>
      <c r="E46" s="128"/>
      <c r="F46" s="128"/>
      <c r="G46" s="130"/>
      <c r="H46" s="25"/>
      <c r="I46" s="25"/>
      <c r="J46" s="25"/>
      <c r="K46" s="25"/>
      <c r="L46" s="25"/>
      <c r="M46" s="25"/>
      <c r="N46" s="131"/>
      <c r="O46" s="131"/>
      <c r="P46" s="131"/>
      <c r="Q46" s="131"/>
      <c r="R46" s="131"/>
      <c r="S46" s="25"/>
      <c r="T46" s="25"/>
      <c r="U46" s="25"/>
      <c r="V46" s="25"/>
      <c r="W46" s="25"/>
      <c r="X46" s="25"/>
    </row>
    <row r="47" spans="1:24" ht="38.25" customHeight="1">
      <c r="A47" s="379"/>
      <c r="B47" s="380"/>
      <c r="C47" s="380"/>
      <c r="D47" s="380"/>
      <c r="E47" s="380"/>
      <c r="F47" s="380"/>
      <c r="G47" s="130"/>
      <c r="H47" s="25"/>
      <c r="I47" s="25"/>
      <c r="J47" s="25"/>
      <c r="K47" s="25"/>
      <c r="L47" s="25"/>
      <c r="M47" s="25"/>
      <c r="N47" s="340"/>
      <c r="O47" s="341"/>
      <c r="P47" s="341"/>
      <c r="Q47" s="25"/>
      <c r="R47" s="384"/>
      <c r="S47" s="341"/>
      <c r="T47" s="341"/>
      <c r="U47" s="25"/>
      <c r="V47" s="382"/>
      <c r="W47" s="341"/>
      <c r="X47" s="25"/>
    </row>
    <row r="48" spans="1:24" ht="15.75" customHeight="1">
      <c r="A48" s="130"/>
      <c r="B48" s="130"/>
      <c r="C48" s="130"/>
      <c r="D48" s="130"/>
      <c r="E48" s="130"/>
      <c r="F48" s="130"/>
      <c r="G48" s="130"/>
      <c r="H48" s="25"/>
      <c r="I48" s="25"/>
      <c r="J48" s="25"/>
      <c r="K48" s="25"/>
      <c r="L48" s="25"/>
      <c r="M48" s="25"/>
      <c r="N48" s="340"/>
      <c r="O48" s="341"/>
      <c r="P48" s="341"/>
      <c r="Q48" s="25"/>
      <c r="R48" s="340"/>
      <c r="S48" s="341"/>
      <c r="T48" s="341"/>
      <c r="U48" s="25"/>
      <c r="V48" s="381"/>
      <c r="W48" s="341"/>
      <c r="X48" s="2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57">
    <mergeCell ref="A27:X27"/>
    <mergeCell ref="A28:W28"/>
    <mergeCell ref="O12:O13"/>
    <mergeCell ref="A1:X1"/>
    <mergeCell ref="J11:N11"/>
    <mergeCell ref="O11:S11"/>
    <mergeCell ref="C10:C13"/>
    <mergeCell ref="D10:D13"/>
    <mergeCell ref="F10:F13"/>
    <mergeCell ref="G10:G13"/>
    <mergeCell ref="A34:W34"/>
    <mergeCell ref="A31:W31"/>
    <mergeCell ref="O10:S10"/>
    <mergeCell ref="T10:X10"/>
    <mergeCell ref="A33:W33"/>
    <mergeCell ref="P12:S12"/>
    <mergeCell ref="A22:X22"/>
    <mergeCell ref="E16:E17"/>
    <mergeCell ref="T11:X11"/>
    <mergeCell ref="T12:T13"/>
    <mergeCell ref="N47:P47"/>
    <mergeCell ref="V47:W47"/>
    <mergeCell ref="A38:W38"/>
    <mergeCell ref="A43:F43"/>
    <mergeCell ref="R44:T44"/>
    <mergeCell ref="R43:T43"/>
    <mergeCell ref="A39:W39"/>
    <mergeCell ref="A19:X19"/>
    <mergeCell ref="A36:W36"/>
    <mergeCell ref="A30:W30"/>
    <mergeCell ref="R48:T48"/>
    <mergeCell ref="R47:T47"/>
    <mergeCell ref="A35:W35"/>
    <mergeCell ref="A47:F47"/>
    <mergeCell ref="N48:P48"/>
    <mergeCell ref="V48:W48"/>
    <mergeCell ref="N44:P44"/>
    <mergeCell ref="A3:X3"/>
    <mergeCell ref="A7:X7"/>
    <mergeCell ref="A8:X8"/>
    <mergeCell ref="J10:N10"/>
    <mergeCell ref="A10:A13"/>
    <mergeCell ref="N43:P43"/>
    <mergeCell ref="A29:W29"/>
    <mergeCell ref="A32:W32"/>
    <mergeCell ref="A37:W37"/>
    <mergeCell ref="A26:C26"/>
    <mergeCell ref="K12:N12"/>
    <mergeCell ref="A15:X15"/>
    <mergeCell ref="U12:X12"/>
    <mergeCell ref="J12:J13"/>
    <mergeCell ref="A4:X4"/>
    <mergeCell ref="A6:X6"/>
    <mergeCell ref="B10:B13"/>
    <mergeCell ref="E10:E13"/>
    <mergeCell ref="H10:H13"/>
    <mergeCell ref="I10:I13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7">
      <selection activeCell="A29" sqref="A29"/>
    </sheetView>
  </sheetViews>
  <sheetFormatPr defaultColWidth="9.140625" defaultRowHeight="15"/>
  <cols>
    <col min="1" max="1" width="4.7109375" style="81" customWidth="1"/>
    <col min="2" max="2" width="19.7109375" style="81" customWidth="1"/>
    <col min="3" max="3" width="15.421875" style="81" customWidth="1"/>
    <col min="4" max="4" width="20.8515625" style="81" customWidth="1"/>
    <col min="5" max="5" width="14.57421875" style="81" customWidth="1"/>
    <col min="6" max="6" width="18.28125" style="124" customWidth="1"/>
    <col min="7" max="7" width="9.28125" style="103" customWidth="1"/>
    <col min="8" max="8" width="9.57421875" style="81" customWidth="1"/>
    <col min="9" max="9" width="11.57421875" style="81" customWidth="1"/>
    <col min="10" max="10" width="10.00390625" style="125" customWidth="1"/>
    <col min="11" max="11" width="7.7109375" style="81" customWidth="1"/>
    <col min="12" max="12" width="6.28125" style="81" customWidth="1"/>
    <col min="13" max="13" width="5.57421875" style="81" customWidth="1"/>
    <col min="14" max="14" width="8.57421875" style="81" customWidth="1"/>
    <col min="15" max="15" width="7.57421875" style="125" customWidth="1"/>
    <col min="16" max="16" width="7.57421875" style="81" customWidth="1"/>
    <col min="17" max="17" width="7.7109375" style="81" customWidth="1"/>
    <col min="18" max="18" width="6.421875" style="81" customWidth="1"/>
    <col min="19" max="19" width="8.140625" style="81" customWidth="1"/>
    <col min="20" max="20" width="5.57421875" style="125" customWidth="1"/>
    <col min="21" max="24" width="5.57421875" style="81" customWidth="1"/>
    <col min="25" max="16384" width="9.140625" style="81" customWidth="1"/>
  </cols>
  <sheetData>
    <row r="1" spans="1:24" s="102" customFormat="1" ht="20.25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</row>
    <row r="2" spans="1:7" s="104" customFormat="1" ht="15">
      <c r="A2" s="192"/>
      <c r="F2" s="193"/>
      <c r="G2" s="194"/>
    </row>
    <row r="3" spans="1:24" s="195" customFormat="1" ht="17.25">
      <c r="A3" s="413" t="s">
        <v>83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</row>
    <row r="4" spans="1:24" s="104" customFormat="1" ht="15">
      <c r="A4" s="415" t="s">
        <v>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</row>
    <row r="5" spans="1:24" s="104" customFormat="1" ht="15">
      <c r="A5" s="194"/>
      <c r="B5" s="194"/>
      <c r="C5" s="194"/>
      <c r="D5" s="194"/>
      <c r="E5" s="194"/>
      <c r="F5" s="193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4" s="104" customFormat="1" ht="15">
      <c r="A6" s="420" t="s">
        <v>62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</row>
    <row r="7" spans="1:24" s="104" customFormat="1" ht="15">
      <c r="A7" s="415" t="s">
        <v>2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</row>
    <row r="8" spans="1:24" s="104" customFormat="1" ht="18" customHeight="1">
      <c r="A8" s="421" t="s">
        <v>75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</row>
    <row r="9" spans="1:24" s="104" customFormat="1" ht="18" customHeight="1">
      <c r="A9" s="105"/>
      <c r="B9" s="105"/>
      <c r="C9" s="105"/>
      <c r="D9" s="105"/>
      <c r="E9" s="105"/>
      <c r="F9" s="19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s="26" customFormat="1" ht="37.5" customHeight="1">
      <c r="A10" s="375" t="s">
        <v>57</v>
      </c>
      <c r="B10" s="375" t="s">
        <v>56</v>
      </c>
      <c r="C10" s="375" t="s">
        <v>3</v>
      </c>
      <c r="D10" s="375" t="s">
        <v>55</v>
      </c>
      <c r="E10" s="375" t="s">
        <v>4</v>
      </c>
      <c r="F10" s="425" t="s">
        <v>54</v>
      </c>
      <c r="G10" s="375" t="s">
        <v>53</v>
      </c>
      <c r="H10" s="373" t="s">
        <v>52</v>
      </c>
      <c r="I10" s="373" t="s">
        <v>20</v>
      </c>
      <c r="J10" s="369" t="s">
        <v>5</v>
      </c>
      <c r="K10" s="370"/>
      <c r="L10" s="370"/>
      <c r="M10" s="370"/>
      <c r="N10" s="371"/>
      <c r="O10" s="369" t="s">
        <v>5</v>
      </c>
      <c r="P10" s="370"/>
      <c r="Q10" s="370"/>
      <c r="R10" s="370"/>
      <c r="S10" s="371"/>
      <c r="T10" s="369" t="s">
        <v>5</v>
      </c>
      <c r="U10" s="370"/>
      <c r="V10" s="370"/>
      <c r="W10" s="370"/>
      <c r="X10" s="371"/>
    </row>
    <row r="11" spans="1:24" s="26" customFormat="1" ht="27.75" customHeight="1">
      <c r="A11" s="376"/>
      <c r="B11" s="376"/>
      <c r="C11" s="376"/>
      <c r="D11" s="376"/>
      <c r="E11" s="376"/>
      <c r="F11" s="426"/>
      <c r="G11" s="376"/>
      <c r="H11" s="378"/>
      <c r="I11" s="378"/>
      <c r="J11" s="369" t="s">
        <v>6</v>
      </c>
      <c r="K11" s="370"/>
      <c r="L11" s="370"/>
      <c r="M11" s="370"/>
      <c r="N11" s="371"/>
      <c r="O11" s="369" t="s">
        <v>7</v>
      </c>
      <c r="P11" s="370"/>
      <c r="Q11" s="370"/>
      <c r="R11" s="370"/>
      <c r="S11" s="371"/>
      <c r="T11" s="369" t="s">
        <v>51</v>
      </c>
      <c r="U11" s="370"/>
      <c r="V11" s="370"/>
      <c r="W11" s="370"/>
      <c r="X11" s="371"/>
    </row>
    <row r="12" spans="1:24" s="26" customFormat="1" ht="30" customHeight="1">
      <c r="A12" s="376"/>
      <c r="B12" s="376"/>
      <c r="C12" s="376"/>
      <c r="D12" s="376"/>
      <c r="E12" s="376"/>
      <c r="F12" s="426"/>
      <c r="G12" s="376"/>
      <c r="H12" s="378"/>
      <c r="I12" s="378"/>
      <c r="J12" s="373" t="s">
        <v>8</v>
      </c>
      <c r="K12" s="369" t="s">
        <v>9</v>
      </c>
      <c r="L12" s="370"/>
      <c r="M12" s="370"/>
      <c r="N12" s="371"/>
      <c r="O12" s="373" t="s">
        <v>8</v>
      </c>
      <c r="P12" s="369" t="s">
        <v>9</v>
      </c>
      <c r="Q12" s="370"/>
      <c r="R12" s="370"/>
      <c r="S12" s="371"/>
      <c r="T12" s="373" t="s">
        <v>8</v>
      </c>
      <c r="U12" s="369" t="s">
        <v>10</v>
      </c>
      <c r="V12" s="370"/>
      <c r="W12" s="370"/>
      <c r="X12" s="371"/>
    </row>
    <row r="13" spans="1:24" s="26" customFormat="1" ht="36" customHeight="1">
      <c r="A13" s="377"/>
      <c r="B13" s="377"/>
      <c r="C13" s="377"/>
      <c r="D13" s="377"/>
      <c r="E13" s="377"/>
      <c r="F13" s="427"/>
      <c r="G13" s="377"/>
      <c r="H13" s="374"/>
      <c r="I13" s="374"/>
      <c r="J13" s="374"/>
      <c r="K13" s="159" t="s">
        <v>50</v>
      </c>
      <c r="L13" s="159" t="s">
        <v>49</v>
      </c>
      <c r="M13" s="159" t="s">
        <v>48</v>
      </c>
      <c r="N13" s="159" t="s">
        <v>47</v>
      </c>
      <c r="O13" s="374"/>
      <c r="P13" s="159" t="s">
        <v>11</v>
      </c>
      <c r="Q13" s="159" t="s">
        <v>12</v>
      </c>
      <c r="R13" s="159" t="s">
        <v>13</v>
      </c>
      <c r="S13" s="159" t="s">
        <v>14</v>
      </c>
      <c r="T13" s="374"/>
      <c r="U13" s="159" t="s">
        <v>11</v>
      </c>
      <c r="V13" s="159" t="s">
        <v>12</v>
      </c>
      <c r="W13" s="159" t="s">
        <v>13</v>
      </c>
      <c r="X13" s="159" t="s">
        <v>14</v>
      </c>
    </row>
    <row r="14" spans="1:24" ht="15" customHeight="1">
      <c r="A14" s="108">
        <v>1</v>
      </c>
      <c r="B14" s="108">
        <v>2</v>
      </c>
      <c r="C14" s="108">
        <v>3</v>
      </c>
      <c r="D14" s="108">
        <v>4</v>
      </c>
      <c r="E14" s="108">
        <v>5</v>
      </c>
      <c r="F14" s="109">
        <v>6</v>
      </c>
      <c r="G14" s="108">
        <v>7</v>
      </c>
      <c r="H14" s="108">
        <v>8</v>
      </c>
      <c r="I14" s="108">
        <v>9</v>
      </c>
      <c r="J14" s="108">
        <v>10</v>
      </c>
      <c r="K14" s="108">
        <v>11</v>
      </c>
      <c r="L14" s="108">
        <v>12</v>
      </c>
      <c r="M14" s="108">
        <v>13</v>
      </c>
      <c r="N14" s="108">
        <v>14</v>
      </c>
      <c r="O14" s="108">
        <v>15</v>
      </c>
      <c r="P14" s="108">
        <v>16</v>
      </c>
      <c r="Q14" s="108">
        <v>17</v>
      </c>
      <c r="R14" s="108">
        <v>18</v>
      </c>
      <c r="S14" s="108">
        <v>19</v>
      </c>
      <c r="T14" s="108">
        <v>20</v>
      </c>
      <c r="U14" s="108">
        <v>21</v>
      </c>
      <c r="V14" s="108">
        <v>22</v>
      </c>
      <c r="W14" s="108">
        <v>23</v>
      </c>
      <c r="X14" s="108">
        <v>24</v>
      </c>
    </row>
    <row r="15" spans="1:24" ht="15" customHeight="1">
      <c r="A15" s="337" t="s">
        <v>63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</row>
    <row r="16" spans="1:24" s="125" customFormat="1" ht="64.5" customHeight="1">
      <c r="A16" s="79">
        <v>1</v>
      </c>
      <c r="B16" s="30" t="s">
        <v>167</v>
      </c>
      <c r="C16" s="82" t="s">
        <v>192</v>
      </c>
      <c r="D16" s="82" t="s">
        <v>221</v>
      </c>
      <c r="E16" s="410" t="s">
        <v>76</v>
      </c>
      <c r="F16" s="288" t="s">
        <v>280</v>
      </c>
      <c r="G16" s="79">
        <v>2020</v>
      </c>
      <c r="H16" s="13">
        <v>1808.019</v>
      </c>
      <c r="I16" s="13">
        <v>1808.019</v>
      </c>
      <c r="J16" s="13">
        <v>1808.019</v>
      </c>
      <c r="K16" s="10">
        <f>(J16-N16-M16)*95%</f>
        <v>1700.4418695</v>
      </c>
      <c r="L16" s="10">
        <f>(J16-N16-M16)*5%</f>
        <v>89.49694050000001</v>
      </c>
      <c r="M16" s="10">
        <f>(J16-N16-(H16-I16))*1%+(H16-I16)</f>
        <v>18.08019</v>
      </c>
      <c r="N16" s="13"/>
      <c r="O16" s="197"/>
      <c r="P16" s="197"/>
      <c r="Q16" s="197"/>
      <c r="R16" s="197"/>
      <c r="S16" s="113"/>
      <c r="T16" s="113"/>
      <c r="U16" s="113"/>
      <c r="V16" s="113"/>
      <c r="W16" s="113"/>
      <c r="X16" s="113"/>
    </row>
    <row r="17" spans="1:24" s="125" customFormat="1" ht="64.5" customHeight="1">
      <c r="A17" s="79">
        <v>2</v>
      </c>
      <c r="B17" s="30" t="s">
        <v>167</v>
      </c>
      <c r="C17" s="82" t="s">
        <v>192</v>
      </c>
      <c r="D17" s="82" t="s">
        <v>166</v>
      </c>
      <c r="E17" s="411"/>
      <c r="F17" s="288" t="s">
        <v>280</v>
      </c>
      <c r="G17" s="79">
        <v>2020</v>
      </c>
      <c r="H17" s="13">
        <v>102</v>
      </c>
      <c r="I17" s="13">
        <v>102</v>
      </c>
      <c r="J17" s="198">
        <v>102</v>
      </c>
      <c r="K17" s="10">
        <f>(J17-N17-M17)*95%</f>
        <v>0</v>
      </c>
      <c r="L17" s="10">
        <f>(J17-N17-M17)*5%</f>
        <v>0</v>
      </c>
      <c r="M17" s="10">
        <f>(J17-N17-(H17-I17))*1%+(H17-I17)</f>
        <v>0</v>
      </c>
      <c r="N17" s="13">
        <v>102</v>
      </c>
      <c r="O17" s="197"/>
      <c r="P17" s="197"/>
      <c r="Q17" s="197"/>
      <c r="R17" s="197"/>
      <c r="S17" s="113"/>
      <c r="T17" s="113"/>
      <c r="U17" s="113"/>
      <c r="V17" s="113"/>
      <c r="W17" s="113"/>
      <c r="X17" s="113"/>
    </row>
    <row r="18" spans="1:24" s="125" customFormat="1" ht="66" customHeight="1">
      <c r="A18" s="79">
        <v>3</v>
      </c>
      <c r="B18" s="30" t="s">
        <v>167</v>
      </c>
      <c r="C18" s="88" t="s">
        <v>247</v>
      </c>
      <c r="D18" s="82" t="s">
        <v>245</v>
      </c>
      <c r="E18" s="411"/>
      <c r="F18" s="288" t="s">
        <v>280</v>
      </c>
      <c r="G18" s="79">
        <v>2020</v>
      </c>
      <c r="H18" s="13">
        <v>187.6</v>
      </c>
      <c r="I18" s="13">
        <v>187.6</v>
      </c>
      <c r="J18" s="198">
        <v>187.6</v>
      </c>
      <c r="K18" s="10">
        <f>(J18-N18-M18)*95%</f>
        <v>176.43779999999998</v>
      </c>
      <c r="L18" s="10">
        <f>(J18-N18-M18)*5%</f>
        <v>9.2862</v>
      </c>
      <c r="M18" s="10">
        <f>(J18-N18-(H18-I18))*1%+(H18-I18)</f>
        <v>1.876</v>
      </c>
      <c r="N18" s="13"/>
      <c r="O18" s="197"/>
      <c r="P18" s="197"/>
      <c r="Q18" s="197"/>
      <c r="R18" s="197"/>
      <c r="S18" s="113"/>
      <c r="T18" s="113"/>
      <c r="U18" s="113"/>
      <c r="V18" s="113"/>
      <c r="W18" s="113"/>
      <c r="X18" s="113"/>
    </row>
    <row r="19" spans="1:24" ht="53.25" customHeight="1">
      <c r="A19" s="79">
        <v>4</v>
      </c>
      <c r="B19" s="199" t="s">
        <v>167</v>
      </c>
      <c r="C19" s="116" t="s">
        <v>192</v>
      </c>
      <c r="D19" s="82" t="s">
        <v>243</v>
      </c>
      <c r="E19" s="412"/>
      <c r="F19" s="79" t="s">
        <v>229</v>
      </c>
      <c r="G19" s="79">
        <v>2020</v>
      </c>
      <c r="H19" s="13">
        <v>1600</v>
      </c>
      <c r="I19" s="13">
        <v>1600</v>
      </c>
      <c r="J19" s="13">
        <v>1600</v>
      </c>
      <c r="K19" s="10">
        <f>(J19-N19-M19)*95%</f>
        <v>1504.8</v>
      </c>
      <c r="L19" s="10">
        <f>(J19-N19-M19)*5%</f>
        <v>79.2</v>
      </c>
      <c r="M19" s="10">
        <f>(J19-N19-(H19-I19))*1%+(H19-I19)</f>
        <v>16</v>
      </c>
      <c r="N19" s="13"/>
      <c r="O19" s="13"/>
      <c r="P19" s="10"/>
      <c r="Q19" s="10"/>
      <c r="R19" s="10"/>
      <c r="S19" s="13"/>
      <c r="T19" s="13"/>
      <c r="U19" s="13"/>
      <c r="V19" s="13"/>
      <c r="W19" s="13"/>
      <c r="X19" s="13"/>
    </row>
    <row r="20" spans="1:24" s="38" customFormat="1" ht="22.5" customHeight="1">
      <c r="A20" s="110"/>
      <c r="B20" s="111" t="s">
        <v>16</v>
      </c>
      <c r="C20" s="200" t="s">
        <v>16</v>
      </c>
      <c r="D20" s="110" t="s">
        <v>17</v>
      </c>
      <c r="E20" s="110" t="s">
        <v>16</v>
      </c>
      <c r="F20" s="79" t="s">
        <v>16</v>
      </c>
      <c r="G20" s="110" t="s">
        <v>16</v>
      </c>
      <c r="H20" s="113">
        <f>SUM(H16:H19)</f>
        <v>3697.619</v>
      </c>
      <c r="I20" s="113">
        <f aca="true" t="shared" si="0" ref="I20:X20">SUM(I16:I19)</f>
        <v>3697.619</v>
      </c>
      <c r="J20" s="113">
        <f t="shared" si="0"/>
        <v>3697.619</v>
      </c>
      <c r="K20" s="113">
        <f t="shared" si="0"/>
        <v>3381.6796695</v>
      </c>
      <c r="L20" s="113">
        <f t="shared" si="0"/>
        <v>177.9831405</v>
      </c>
      <c r="M20" s="113">
        <f t="shared" si="0"/>
        <v>35.95619000000001</v>
      </c>
      <c r="N20" s="113">
        <f t="shared" si="0"/>
        <v>102</v>
      </c>
      <c r="O20" s="113">
        <f t="shared" si="0"/>
        <v>0</v>
      </c>
      <c r="P20" s="113">
        <f t="shared" si="0"/>
        <v>0</v>
      </c>
      <c r="Q20" s="113">
        <f t="shared" si="0"/>
        <v>0</v>
      </c>
      <c r="R20" s="113">
        <f t="shared" si="0"/>
        <v>0</v>
      </c>
      <c r="S20" s="113">
        <f t="shared" si="0"/>
        <v>0</v>
      </c>
      <c r="T20" s="113">
        <f t="shared" si="0"/>
        <v>0</v>
      </c>
      <c r="U20" s="113">
        <f t="shared" si="0"/>
        <v>0</v>
      </c>
      <c r="V20" s="113">
        <f t="shared" si="0"/>
        <v>0</v>
      </c>
      <c r="W20" s="113">
        <f t="shared" si="0"/>
        <v>0</v>
      </c>
      <c r="X20" s="113">
        <f t="shared" si="0"/>
        <v>0</v>
      </c>
    </row>
    <row r="21" spans="1:24" ht="18" customHeight="1">
      <c r="A21" s="416" t="s">
        <v>65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9"/>
    </row>
    <row r="22" spans="1:24" ht="80.25" customHeight="1">
      <c r="A22" s="79">
        <v>5</v>
      </c>
      <c r="B22" s="199" t="s">
        <v>167</v>
      </c>
      <c r="C22" s="116" t="s">
        <v>192</v>
      </c>
      <c r="D22" s="83" t="s">
        <v>293</v>
      </c>
      <c r="E22" s="202"/>
      <c r="F22" s="79" t="s">
        <v>44</v>
      </c>
      <c r="G22" s="85">
        <v>2020</v>
      </c>
      <c r="H22" s="306">
        <v>350</v>
      </c>
      <c r="I22" s="306">
        <v>350</v>
      </c>
      <c r="J22" s="306">
        <v>350</v>
      </c>
      <c r="K22" s="10">
        <f>(J22-N22-M22)*95%</f>
        <v>329.175</v>
      </c>
      <c r="L22" s="10">
        <f>(J22-N22-M22)*5%</f>
        <v>17.325</v>
      </c>
      <c r="M22" s="10">
        <f>(J22-N22-(H22-I22))*1%+(H22-I22)</f>
        <v>3.5</v>
      </c>
      <c r="N22" s="75"/>
      <c r="O22" s="75"/>
      <c r="P22" s="10"/>
      <c r="Q22" s="10"/>
      <c r="R22" s="10"/>
      <c r="S22" s="75"/>
      <c r="T22" s="75"/>
      <c r="U22" s="75"/>
      <c r="V22" s="75"/>
      <c r="W22" s="75"/>
      <c r="X22" s="13"/>
    </row>
    <row r="23" spans="1:24" ht="78.75">
      <c r="A23" s="79">
        <v>6</v>
      </c>
      <c r="B23" s="199" t="s">
        <v>167</v>
      </c>
      <c r="C23" s="116" t="s">
        <v>192</v>
      </c>
      <c r="D23" s="82" t="s">
        <v>213</v>
      </c>
      <c r="E23" s="201"/>
      <c r="F23" s="79" t="s">
        <v>44</v>
      </c>
      <c r="G23" s="79">
        <v>2020</v>
      </c>
      <c r="H23" s="13">
        <v>400</v>
      </c>
      <c r="I23" s="13">
        <v>400</v>
      </c>
      <c r="J23" s="13">
        <v>400</v>
      </c>
      <c r="K23" s="13"/>
      <c r="L23" s="13"/>
      <c r="M23" s="13"/>
      <c r="N23" s="13">
        <v>400</v>
      </c>
      <c r="O23" s="13"/>
      <c r="P23" s="10"/>
      <c r="Q23" s="10"/>
      <c r="R23" s="10"/>
      <c r="S23" s="13"/>
      <c r="T23" s="13"/>
      <c r="U23" s="13"/>
      <c r="V23" s="13"/>
      <c r="W23" s="13"/>
      <c r="X23" s="13"/>
    </row>
    <row r="24" spans="1:24" s="125" customFormat="1" ht="24" customHeight="1">
      <c r="A24" s="110"/>
      <c r="B24" s="203"/>
      <c r="C24" s="204"/>
      <c r="D24" s="205" t="s">
        <v>17</v>
      </c>
      <c r="E24" s="110"/>
      <c r="F24" s="206"/>
      <c r="G24" s="110"/>
      <c r="H24" s="113">
        <f aca="true" t="shared" si="1" ref="H24:N24">SUM(H22:H23)</f>
        <v>750</v>
      </c>
      <c r="I24" s="113">
        <f t="shared" si="1"/>
        <v>750</v>
      </c>
      <c r="J24" s="113">
        <f t="shared" si="1"/>
        <v>750</v>
      </c>
      <c r="K24" s="113">
        <f t="shared" si="1"/>
        <v>329.175</v>
      </c>
      <c r="L24" s="113">
        <f t="shared" si="1"/>
        <v>17.325</v>
      </c>
      <c r="M24" s="113">
        <f t="shared" si="1"/>
        <v>3.5</v>
      </c>
      <c r="N24" s="113">
        <f t="shared" si="1"/>
        <v>400</v>
      </c>
      <c r="O24" s="113">
        <f aca="true" t="shared" si="2" ref="O24:X24">SUM(O22:O23)</f>
        <v>0</v>
      </c>
      <c r="P24" s="113">
        <f t="shared" si="2"/>
        <v>0</v>
      </c>
      <c r="Q24" s="113">
        <f t="shared" si="2"/>
        <v>0</v>
      </c>
      <c r="R24" s="113">
        <f t="shared" si="2"/>
        <v>0</v>
      </c>
      <c r="S24" s="113">
        <f t="shared" si="2"/>
        <v>0</v>
      </c>
      <c r="T24" s="113">
        <f t="shared" si="2"/>
        <v>0</v>
      </c>
      <c r="U24" s="113">
        <f t="shared" si="2"/>
        <v>0</v>
      </c>
      <c r="V24" s="113">
        <f t="shared" si="2"/>
        <v>0</v>
      </c>
      <c r="W24" s="113">
        <f t="shared" si="2"/>
        <v>0</v>
      </c>
      <c r="X24" s="113">
        <f t="shared" si="2"/>
        <v>0</v>
      </c>
    </row>
    <row r="25" spans="1:24" s="117" customFormat="1" ht="18" customHeight="1">
      <c r="A25" s="416" t="s">
        <v>84</v>
      </c>
      <c r="B25" s="417"/>
      <c r="C25" s="418"/>
      <c r="D25" s="418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9"/>
    </row>
    <row r="26" spans="1:24" s="125" customFormat="1" ht="64.5" customHeight="1">
      <c r="A26" s="79">
        <v>7</v>
      </c>
      <c r="B26" s="207" t="s">
        <v>167</v>
      </c>
      <c r="C26" s="82" t="s">
        <v>192</v>
      </c>
      <c r="D26" s="82" t="s">
        <v>244</v>
      </c>
      <c r="E26" s="410" t="s">
        <v>76</v>
      </c>
      <c r="F26" s="288" t="s">
        <v>280</v>
      </c>
      <c r="G26" s="79">
        <v>2020</v>
      </c>
      <c r="H26" s="13">
        <v>2988.916</v>
      </c>
      <c r="I26" s="13">
        <v>2988.916</v>
      </c>
      <c r="J26" s="13">
        <v>2988.916</v>
      </c>
      <c r="K26" s="10">
        <f>(J26-N26-M26)*95%</f>
        <v>2811.0754979999997</v>
      </c>
      <c r="L26" s="10">
        <f>(J26-N26-M26)*5%</f>
        <v>147.951342</v>
      </c>
      <c r="M26" s="10">
        <f>(J26-N26-(H26-I26))*1%+(H26-I26)</f>
        <v>29.889160000000004</v>
      </c>
      <c r="N26" s="197"/>
      <c r="O26" s="13"/>
      <c r="P26" s="10"/>
      <c r="Q26" s="10"/>
      <c r="R26" s="10"/>
      <c r="S26" s="197"/>
      <c r="T26" s="13"/>
      <c r="U26" s="10"/>
      <c r="V26" s="10"/>
      <c r="W26" s="10"/>
      <c r="X26" s="197"/>
    </row>
    <row r="27" spans="1:24" s="125" customFormat="1" ht="67.5" customHeight="1">
      <c r="A27" s="79">
        <v>8</v>
      </c>
      <c r="B27" s="207" t="s">
        <v>167</v>
      </c>
      <c r="C27" s="82" t="s">
        <v>247</v>
      </c>
      <c r="D27" s="82" t="s">
        <v>228</v>
      </c>
      <c r="E27" s="411"/>
      <c r="F27" s="288" t="s">
        <v>280</v>
      </c>
      <c r="G27" s="79">
        <v>2020</v>
      </c>
      <c r="H27" s="13">
        <v>412.93</v>
      </c>
      <c r="I27" s="13">
        <v>412.93</v>
      </c>
      <c r="J27" s="13">
        <v>412.93</v>
      </c>
      <c r="K27" s="10">
        <f>(J27-N27-M27)*95%</f>
        <v>388.360665</v>
      </c>
      <c r="L27" s="10">
        <f>(J27-N27-M27)*5%</f>
        <v>20.440035</v>
      </c>
      <c r="M27" s="10">
        <f>(J27-N27-(H27-I27))*1%+(H27-I27)</f>
        <v>4.1293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</row>
    <row r="28" spans="1:24" s="125" customFormat="1" ht="66.75" customHeight="1">
      <c r="A28" s="79">
        <v>9</v>
      </c>
      <c r="B28" s="207" t="s">
        <v>167</v>
      </c>
      <c r="C28" s="82" t="s">
        <v>248</v>
      </c>
      <c r="D28" s="82" t="s">
        <v>227</v>
      </c>
      <c r="E28" s="411"/>
      <c r="F28" s="288" t="s">
        <v>280</v>
      </c>
      <c r="G28" s="79">
        <v>2020</v>
      </c>
      <c r="H28" s="13">
        <v>524.008</v>
      </c>
      <c r="I28" s="13">
        <v>524.008</v>
      </c>
      <c r="J28" s="13">
        <v>524.008</v>
      </c>
      <c r="K28" s="10">
        <f>(J28-N28-M28)*95%</f>
        <v>492.829524</v>
      </c>
      <c r="L28" s="10">
        <f>(J28-N28-M28)*5%</f>
        <v>25.938396</v>
      </c>
      <c r="M28" s="10">
        <f>(J28-N28-(H28-I28))*1%+(H28-I28)</f>
        <v>5.240080000000001</v>
      </c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</row>
    <row r="29" spans="1:24" ht="66" customHeight="1">
      <c r="A29" s="79">
        <v>10</v>
      </c>
      <c r="B29" s="207" t="s">
        <v>167</v>
      </c>
      <c r="C29" s="82" t="s">
        <v>249</v>
      </c>
      <c r="D29" s="82" t="s">
        <v>246</v>
      </c>
      <c r="E29" s="412"/>
      <c r="F29" s="288" t="s">
        <v>280</v>
      </c>
      <c r="G29" s="79">
        <v>2020</v>
      </c>
      <c r="H29" s="13">
        <v>208.124</v>
      </c>
      <c r="I29" s="13">
        <v>208.124</v>
      </c>
      <c r="J29" s="13">
        <v>208.124</v>
      </c>
      <c r="K29" s="10">
        <f>(J29-N29-M29)*95%</f>
        <v>195.74062199999997</v>
      </c>
      <c r="L29" s="10">
        <f>(J29-N29-M29)*5%</f>
        <v>10.302138</v>
      </c>
      <c r="M29" s="10">
        <f>(J29-N29-(H29-I29))*1%+(H29-I29)</f>
        <v>2.08124</v>
      </c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</row>
    <row r="30" spans="1:24" ht="18.75" customHeight="1">
      <c r="A30" s="148"/>
      <c r="B30" s="208"/>
      <c r="C30" s="209"/>
      <c r="D30" s="210" t="s">
        <v>17</v>
      </c>
      <c r="E30" s="206"/>
      <c r="F30" s="79"/>
      <c r="G30" s="206"/>
      <c r="H30" s="113">
        <f>SUM(H26:H29)</f>
        <v>4133.978</v>
      </c>
      <c r="I30" s="113">
        <f aca="true" t="shared" si="3" ref="I30:X30">SUM(I26:I29)</f>
        <v>4133.978</v>
      </c>
      <c r="J30" s="113">
        <f t="shared" si="3"/>
        <v>4133.978</v>
      </c>
      <c r="K30" s="113">
        <f t="shared" si="3"/>
        <v>3888.006309</v>
      </c>
      <c r="L30" s="113">
        <f t="shared" si="3"/>
        <v>204.631911</v>
      </c>
      <c r="M30" s="113">
        <f t="shared" si="3"/>
        <v>41.339780000000005</v>
      </c>
      <c r="N30" s="113">
        <f t="shared" si="3"/>
        <v>0</v>
      </c>
      <c r="O30" s="113">
        <f t="shared" si="3"/>
        <v>0</v>
      </c>
      <c r="P30" s="113">
        <f t="shared" si="3"/>
        <v>0</v>
      </c>
      <c r="Q30" s="113">
        <f t="shared" si="3"/>
        <v>0</v>
      </c>
      <c r="R30" s="113">
        <f t="shared" si="3"/>
        <v>0</v>
      </c>
      <c r="S30" s="113">
        <f t="shared" si="3"/>
        <v>0</v>
      </c>
      <c r="T30" s="113">
        <f t="shared" si="3"/>
        <v>0</v>
      </c>
      <c r="U30" s="113">
        <f t="shared" si="3"/>
        <v>0</v>
      </c>
      <c r="V30" s="113">
        <f t="shared" si="3"/>
        <v>0</v>
      </c>
      <c r="W30" s="113">
        <f t="shared" si="3"/>
        <v>0</v>
      </c>
      <c r="X30" s="113">
        <f t="shared" si="3"/>
        <v>0</v>
      </c>
    </row>
    <row r="31" spans="1:24" s="46" customFormat="1" ht="15.75" customHeight="1" hidden="1">
      <c r="A31" s="422" t="s">
        <v>66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1:24" s="46" customFormat="1" ht="14.25" hidden="1">
      <c r="A32" s="44">
        <v>16</v>
      </c>
      <c r="B32" s="42" t="s">
        <v>15</v>
      </c>
      <c r="C32" s="42"/>
      <c r="D32" s="42"/>
      <c r="E32" s="43"/>
      <c r="F32" s="44"/>
      <c r="G32" s="44"/>
      <c r="H32" s="45"/>
      <c r="I32" s="45"/>
      <c r="J32" s="45"/>
      <c r="K32" s="10">
        <f>(J32-N32-M32)*95%</f>
        <v>0</v>
      </c>
      <c r="L32" s="10">
        <f>(J32-N32-M32)*5%</f>
        <v>0</v>
      </c>
      <c r="M32" s="10">
        <f>(J32-N32-(H32-I32))*1%+(H32-I32)</f>
        <v>0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s="46" customFormat="1" ht="27.75" customHeight="1" hidden="1">
      <c r="A33" s="211"/>
      <c r="B33" s="212" t="s">
        <v>16</v>
      </c>
      <c r="C33" s="212" t="s">
        <v>16</v>
      </c>
      <c r="D33" s="213" t="s">
        <v>17</v>
      </c>
      <c r="E33" s="213"/>
      <c r="F33" s="214"/>
      <c r="G33" s="213"/>
      <c r="H33" s="215">
        <f aca="true" t="shared" si="4" ref="H33:X33">SUM(H32:H32)</f>
        <v>0</v>
      </c>
      <c r="I33" s="215">
        <f t="shared" si="4"/>
        <v>0</v>
      </c>
      <c r="J33" s="215">
        <f t="shared" si="4"/>
        <v>0</v>
      </c>
      <c r="K33" s="215">
        <f t="shared" si="4"/>
        <v>0</v>
      </c>
      <c r="L33" s="215">
        <f t="shared" si="4"/>
        <v>0</v>
      </c>
      <c r="M33" s="215">
        <f t="shared" si="4"/>
        <v>0</v>
      </c>
      <c r="N33" s="215">
        <f t="shared" si="4"/>
        <v>0</v>
      </c>
      <c r="O33" s="215">
        <f t="shared" si="4"/>
        <v>0</v>
      </c>
      <c r="P33" s="215">
        <f t="shared" si="4"/>
        <v>0</v>
      </c>
      <c r="Q33" s="215">
        <f t="shared" si="4"/>
        <v>0</v>
      </c>
      <c r="R33" s="215">
        <f t="shared" si="4"/>
        <v>0</v>
      </c>
      <c r="S33" s="215">
        <f t="shared" si="4"/>
        <v>0</v>
      </c>
      <c r="T33" s="215">
        <f t="shared" si="4"/>
        <v>0</v>
      </c>
      <c r="U33" s="215">
        <f t="shared" si="4"/>
        <v>0</v>
      </c>
      <c r="V33" s="215">
        <f t="shared" si="4"/>
        <v>0</v>
      </c>
      <c r="W33" s="215">
        <f t="shared" si="4"/>
        <v>0</v>
      </c>
      <c r="X33" s="215">
        <f t="shared" si="4"/>
        <v>0</v>
      </c>
    </row>
    <row r="34" spans="1:24" s="125" customFormat="1" ht="21" customHeight="1">
      <c r="A34" s="216"/>
      <c r="B34" s="111"/>
      <c r="C34" s="111"/>
      <c r="D34" s="217" t="s">
        <v>18</v>
      </c>
      <c r="E34" s="110"/>
      <c r="F34" s="79"/>
      <c r="G34" s="110"/>
      <c r="H34" s="113">
        <f aca="true" t="shared" si="5" ref="H34:X34">H30+H24+H20</f>
        <v>8581.597</v>
      </c>
      <c r="I34" s="113">
        <f t="shared" si="5"/>
        <v>8581.597</v>
      </c>
      <c r="J34" s="113">
        <f t="shared" si="5"/>
        <v>8581.597</v>
      </c>
      <c r="K34" s="113">
        <f t="shared" si="5"/>
        <v>7598.860978499999</v>
      </c>
      <c r="L34" s="113">
        <f t="shared" si="5"/>
        <v>399.9400515</v>
      </c>
      <c r="M34" s="113">
        <f t="shared" si="5"/>
        <v>80.79597000000001</v>
      </c>
      <c r="N34" s="113">
        <f t="shared" si="5"/>
        <v>502</v>
      </c>
      <c r="O34" s="113">
        <f t="shared" si="5"/>
        <v>0</v>
      </c>
      <c r="P34" s="113">
        <f t="shared" si="5"/>
        <v>0</v>
      </c>
      <c r="Q34" s="113">
        <f t="shared" si="5"/>
        <v>0</v>
      </c>
      <c r="R34" s="113">
        <f t="shared" si="5"/>
        <v>0</v>
      </c>
      <c r="S34" s="113">
        <f t="shared" si="5"/>
        <v>0</v>
      </c>
      <c r="T34" s="113">
        <f t="shared" si="5"/>
        <v>0</v>
      </c>
      <c r="U34" s="113">
        <f t="shared" si="5"/>
        <v>0</v>
      </c>
      <c r="V34" s="113">
        <f t="shared" si="5"/>
        <v>0</v>
      </c>
      <c r="W34" s="113">
        <f t="shared" si="5"/>
        <v>0</v>
      </c>
      <c r="X34" s="113">
        <f t="shared" si="5"/>
        <v>0</v>
      </c>
    </row>
    <row r="37" spans="1:3" ht="18">
      <c r="A37" s="218"/>
      <c r="B37" s="122"/>
      <c r="C37" s="122"/>
    </row>
    <row r="38" spans="1:24" s="127" customFormat="1" ht="22.5" customHeight="1">
      <c r="A38" s="344" t="s">
        <v>29</v>
      </c>
      <c r="B38" s="345"/>
      <c r="C38" s="345"/>
      <c r="D38" s="345"/>
      <c r="E38" s="345"/>
      <c r="F38" s="345"/>
      <c r="G38" s="154"/>
      <c r="H38" s="24"/>
      <c r="I38" s="24"/>
      <c r="J38" s="24"/>
      <c r="K38" s="24"/>
      <c r="L38" s="24"/>
      <c r="M38" s="24"/>
      <c r="N38" s="346" t="s">
        <v>28</v>
      </c>
      <c r="O38" s="347"/>
      <c r="P38" s="347"/>
      <c r="Q38" s="126"/>
      <c r="R38" s="346"/>
      <c r="S38" s="347"/>
      <c r="T38" s="347"/>
      <c r="U38" s="24"/>
      <c r="V38" s="24"/>
      <c r="W38" s="24"/>
      <c r="X38" s="24"/>
    </row>
    <row r="39" spans="1:24" s="26" customFormat="1" ht="17.25" customHeight="1">
      <c r="A39" s="128"/>
      <c r="B39" s="128"/>
      <c r="C39" s="128"/>
      <c r="D39" s="128"/>
      <c r="E39" s="128"/>
      <c r="F39" s="129"/>
      <c r="G39" s="130"/>
      <c r="H39" s="25"/>
      <c r="I39" s="25"/>
      <c r="J39" s="25"/>
      <c r="K39" s="25"/>
      <c r="L39" s="25"/>
      <c r="M39" s="25"/>
      <c r="N39" s="340"/>
      <c r="O39" s="341"/>
      <c r="P39" s="341"/>
      <c r="Q39" s="131"/>
      <c r="R39" s="340"/>
      <c r="S39" s="341"/>
      <c r="T39" s="341"/>
      <c r="U39" s="25"/>
      <c r="V39" s="25"/>
      <c r="W39" s="25"/>
      <c r="X39" s="25"/>
    </row>
    <row r="40" spans="1:24" s="26" customFormat="1" ht="20.25" customHeight="1">
      <c r="A40" s="132" t="s">
        <v>19</v>
      </c>
      <c r="B40" s="133"/>
      <c r="C40" s="132"/>
      <c r="D40" s="132"/>
      <c r="E40" s="128"/>
      <c r="F40" s="129"/>
      <c r="G40" s="130"/>
      <c r="H40" s="25"/>
      <c r="I40" s="25"/>
      <c r="J40" s="25"/>
      <c r="K40" s="25"/>
      <c r="L40" s="25"/>
      <c r="M40" s="25"/>
      <c r="N40" s="131"/>
      <c r="O40" s="131"/>
      <c r="P40" s="131"/>
      <c r="Q40" s="131"/>
      <c r="R40" s="131"/>
      <c r="S40" s="25"/>
      <c r="T40" s="25"/>
      <c r="U40" s="25"/>
      <c r="V40" s="25"/>
      <c r="W40" s="25"/>
      <c r="X40" s="25"/>
    </row>
    <row r="41" spans="1:24" s="26" customFormat="1" ht="20.25" customHeight="1">
      <c r="A41" s="132" t="s">
        <v>27</v>
      </c>
      <c r="B41" s="132"/>
      <c r="C41" s="132"/>
      <c r="D41" s="132"/>
      <c r="E41" s="128"/>
      <c r="F41" s="129"/>
      <c r="G41" s="130"/>
      <c r="H41" s="25"/>
      <c r="I41" s="25"/>
      <c r="J41" s="25"/>
      <c r="K41" s="25"/>
      <c r="L41" s="25"/>
      <c r="M41" s="25"/>
      <c r="N41" s="131"/>
      <c r="O41" s="131"/>
      <c r="P41" s="131"/>
      <c r="Q41" s="131"/>
      <c r="R41" s="131"/>
      <c r="S41" s="25"/>
      <c r="T41" s="25"/>
      <c r="U41" s="25"/>
      <c r="V41" s="25"/>
      <c r="W41" s="25"/>
      <c r="X41" s="25"/>
    </row>
  </sheetData>
  <sheetProtection/>
  <mergeCells count="38">
    <mergeCell ref="A31:X31"/>
    <mergeCell ref="O11:S11"/>
    <mergeCell ref="T11:X11"/>
    <mergeCell ref="J12:J13"/>
    <mergeCell ref="K12:N12"/>
    <mergeCell ref="O12:O13"/>
    <mergeCell ref="P12:S12"/>
    <mergeCell ref="T12:T13"/>
    <mergeCell ref="E10:E13"/>
    <mergeCell ref="F10:F13"/>
    <mergeCell ref="G10:G13"/>
    <mergeCell ref="H10:H13"/>
    <mergeCell ref="I10:I13"/>
    <mergeCell ref="U12:X12"/>
    <mergeCell ref="J10:N10"/>
    <mergeCell ref="O10:S10"/>
    <mergeCell ref="T10:X10"/>
    <mergeCell ref="J11:N11"/>
    <mergeCell ref="N39:P39"/>
    <mergeCell ref="A6:X6"/>
    <mergeCell ref="A21:X21"/>
    <mergeCell ref="R39:T39"/>
    <mergeCell ref="A7:X7"/>
    <mergeCell ref="A8:X8"/>
    <mergeCell ref="A10:A13"/>
    <mergeCell ref="B10:B13"/>
    <mergeCell ref="C10:C13"/>
    <mergeCell ref="D10:D13"/>
    <mergeCell ref="E16:E19"/>
    <mergeCell ref="A38:F38"/>
    <mergeCell ref="E26:E29"/>
    <mergeCell ref="A3:X3"/>
    <mergeCell ref="A1:X1"/>
    <mergeCell ref="A4:X4"/>
    <mergeCell ref="A15:X15"/>
    <mergeCell ref="A25:X25"/>
    <mergeCell ref="N38:P38"/>
    <mergeCell ref="R38:T38"/>
  </mergeCells>
  <hyperlinks>
    <hyperlink ref="A8" r:id="rId1" display="tyjcwt"/>
  </hyperlink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61" r:id="rId2"/>
  <rowBreaks count="1" manualBreakCount="1">
    <brk id="24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SheetLayoutView="110" zoomScalePageLayoutView="0" workbookViewId="0" topLeftCell="A10">
      <selection activeCell="J18" sqref="J18"/>
    </sheetView>
  </sheetViews>
  <sheetFormatPr defaultColWidth="9.140625" defaultRowHeight="15"/>
  <cols>
    <col min="1" max="1" width="4.7109375" style="124" customWidth="1"/>
    <col min="2" max="2" width="19.00390625" style="81" customWidth="1"/>
    <col min="3" max="3" width="13.140625" style="81" customWidth="1"/>
    <col min="4" max="4" width="19.7109375" style="81" customWidth="1"/>
    <col min="5" max="5" width="14.7109375" style="81" customWidth="1"/>
    <col min="6" max="6" width="18.28125" style="103" customWidth="1"/>
    <col min="7" max="7" width="8.7109375" style="103" customWidth="1"/>
    <col min="8" max="8" width="9.57421875" style="81" customWidth="1"/>
    <col min="9" max="9" width="10.7109375" style="81" customWidth="1"/>
    <col min="10" max="10" width="9.8515625" style="125" customWidth="1"/>
    <col min="11" max="11" width="10.140625" style="81" customWidth="1"/>
    <col min="12" max="12" width="8.7109375" style="81" customWidth="1"/>
    <col min="13" max="13" width="8.57421875" style="81" customWidth="1"/>
    <col min="14" max="14" width="7.8515625" style="81" customWidth="1"/>
    <col min="15" max="15" width="7.57421875" style="125" customWidth="1"/>
    <col min="16" max="16" width="7.57421875" style="81" customWidth="1"/>
    <col min="17" max="17" width="7.140625" style="81" customWidth="1"/>
    <col min="18" max="18" width="7.421875" style="81" customWidth="1"/>
    <col min="19" max="19" width="6.421875" style="81" customWidth="1"/>
    <col min="20" max="20" width="8.140625" style="125" customWidth="1"/>
    <col min="21" max="21" width="7.8515625" style="81" customWidth="1"/>
    <col min="22" max="24" width="5.57421875" style="81" customWidth="1"/>
    <col min="25" max="16384" width="9.140625" style="81" customWidth="1"/>
  </cols>
  <sheetData>
    <row r="1" spans="1:24" s="102" customFormat="1" ht="28.5" customHeight="1">
      <c r="A1" s="430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</row>
    <row r="2" spans="1:7" s="104" customFormat="1" ht="15">
      <c r="A2" s="219"/>
      <c r="F2" s="194"/>
      <c r="G2" s="194"/>
    </row>
    <row r="3" spans="1:24" s="195" customFormat="1" ht="17.25">
      <c r="A3" s="413" t="s">
        <v>82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</row>
    <row r="4" spans="1:24" s="104" customFormat="1" ht="15">
      <c r="A4" s="415" t="s">
        <v>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</row>
    <row r="5" spans="1:24" s="104" customFormat="1" ht="15">
      <c r="A5" s="219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4" s="104" customFormat="1" ht="17.25">
      <c r="A6" s="413" t="s">
        <v>62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</row>
    <row r="7" spans="1:24" s="104" customFormat="1" ht="15">
      <c r="A7" s="415" t="s">
        <v>2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</row>
    <row r="8" spans="1:24" s="104" customFormat="1" ht="30.75" customHeight="1">
      <c r="A8" s="432" t="s">
        <v>74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</row>
    <row r="9" spans="1:24" s="104" customFormat="1" ht="18" customHeight="1">
      <c r="A9" s="107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s="26" customFormat="1" ht="37.5" customHeight="1">
      <c r="A10" s="375" t="s">
        <v>57</v>
      </c>
      <c r="B10" s="375" t="s">
        <v>56</v>
      </c>
      <c r="C10" s="375" t="s">
        <v>3</v>
      </c>
      <c r="D10" s="375" t="s">
        <v>55</v>
      </c>
      <c r="E10" s="375" t="s">
        <v>4</v>
      </c>
      <c r="F10" s="375" t="s">
        <v>54</v>
      </c>
      <c r="G10" s="375" t="s">
        <v>53</v>
      </c>
      <c r="H10" s="373" t="s">
        <v>52</v>
      </c>
      <c r="I10" s="373" t="s">
        <v>20</v>
      </c>
      <c r="J10" s="369" t="s">
        <v>5</v>
      </c>
      <c r="K10" s="370"/>
      <c r="L10" s="370"/>
      <c r="M10" s="370"/>
      <c r="N10" s="371"/>
      <c r="O10" s="369" t="s">
        <v>5</v>
      </c>
      <c r="P10" s="370"/>
      <c r="Q10" s="370"/>
      <c r="R10" s="370"/>
      <c r="S10" s="371"/>
      <c r="T10" s="369" t="s">
        <v>5</v>
      </c>
      <c r="U10" s="370"/>
      <c r="V10" s="370"/>
      <c r="W10" s="370"/>
      <c r="X10" s="371"/>
    </row>
    <row r="11" spans="1:24" s="26" customFormat="1" ht="27.75" customHeight="1">
      <c r="A11" s="433"/>
      <c r="B11" s="376"/>
      <c r="C11" s="376"/>
      <c r="D11" s="376"/>
      <c r="E11" s="376"/>
      <c r="F11" s="376"/>
      <c r="G11" s="376"/>
      <c r="H11" s="378"/>
      <c r="I11" s="378"/>
      <c r="J11" s="369" t="s">
        <v>6</v>
      </c>
      <c r="K11" s="370"/>
      <c r="L11" s="370"/>
      <c r="M11" s="370"/>
      <c r="N11" s="371"/>
      <c r="O11" s="369" t="s">
        <v>7</v>
      </c>
      <c r="P11" s="370"/>
      <c r="Q11" s="370"/>
      <c r="R11" s="370"/>
      <c r="S11" s="371"/>
      <c r="T11" s="369" t="s">
        <v>51</v>
      </c>
      <c r="U11" s="370"/>
      <c r="V11" s="370"/>
      <c r="W11" s="370"/>
      <c r="X11" s="371"/>
    </row>
    <row r="12" spans="1:24" s="26" customFormat="1" ht="30" customHeight="1">
      <c r="A12" s="433"/>
      <c r="B12" s="376"/>
      <c r="C12" s="376"/>
      <c r="D12" s="376"/>
      <c r="E12" s="376"/>
      <c r="F12" s="376"/>
      <c r="G12" s="376"/>
      <c r="H12" s="378"/>
      <c r="I12" s="378"/>
      <c r="J12" s="373" t="s">
        <v>8</v>
      </c>
      <c r="K12" s="369" t="s">
        <v>9</v>
      </c>
      <c r="L12" s="370"/>
      <c r="M12" s="370"/>
      <c r="N12" s="371"/>
      <c r="O12" s="373" t="s">
        <v>8</v>
      </c>
      <c r="P12" s="369" t="s">
        <v>9</v>
      </c>
      <c r="Q12" s="370"/>
      <c r="R12" s="370"/>
      <c r="S12" s="371"/>
      <c r="T12" s="373" t="s">
        <v>8</v>
      </c>
      <c r="U12" s="369" t="s">
        <v>10</v>
      </c>
      <c r="V12" s="370"/>
      <c r="W12" s="370"/>
      <c r="X12" s="371"/>
    </row>
    <row r="13" spans="1:24" s="26" customFormat="1" ht="45.75" customHeight="1">
      <c r="A13" s="434"/>
      <c r="B13" s="377"/>
      <c r="C13" s="377"/>
      <c r="D13" s="377"/>
      <c r="E13" s="377"/>
      <c r="F13" s="377"/>
      <c r="G13" s="377"/>
      <c r="H13" s="374"/>
      <c r="I13" s="374"/>
      <c r="J13" s="374"/>
      <c r="K13" s="159" t="s">
        <v>67</v>
      </c>
      <c r="L13" s="159" t="s">
        <v>68</v>
      </c>
      <c r="M13" s="159" t="s">
        <v>69</v>
      </c>
      <c r="N13" s="159" t="s">
        <v>47</v>
      </c>
      <c r="O13" s="374"/>
      <c r="P13" s="159" t="s">
        <v>11</v>
      </c>
      <c r="Q13" s="159" t="s">
        <v>12</v>
      </c>
      <c r="R13" s="159" t="s">
        <v>13</v>
      </c>
      <c r="S13" s="159" t="s">
        <v>14</v>
      </c>
      <c r="T13" s="374"/>
      <c r="U13" s="159" t="s">
        <v>11</v>
      </c>
      <c r="V13" s="159" t="s">
        <v>12</v>
      </c>
      <c r="W13" s="159" t="s">
        <v>13</v>
      </c>
      <c r="X13" s="159" t="s">
        <v>14</v>
      </c>
    </row>
    <row r="14" spans="1:24" ht="15" customHeight="1">
      <c r="A14" s="109">
        <v>1</v>
      </c>
      <c r="B14" s="108">
        <v>2</v>
      </c>
      <c r="C14" s="108">
        <v>3</v>
      </c>
      <c r="D14" s="108">
        <v>4</v>
      </c>
      <c r="E14" s="108">
        <v>5</v>
      </c>
      <c r="F14" s="108">
        <v>6</v>
      </c>
      <c r="G14" s="108">
        <v>7</v>
      </c>
      <c r="H14" s="108">
        <v>8</v>
      </c>
      <c r="I14" s="108">
        <v>9</v>
      </c>
      <c r="J14" s="108">
        <v>10</v>
      </c>
      <c r="K14" s="108">
        <v>11</v>
      </c>
      <c r="L14" s="108">
        <v>12</v>
      </c>
      <c r="M14" s="108">
        <v>13</v>
      </c>
      <c r="N14" s="108">
        <v>14</v>
      </c>
      <c r="O14" s="108">
        <v>15</v>
      </c>
      <c r="P14" s="108">
        <v>16</v>
      </c>
      <c r="Q14" s="108">
        <v>17</v>
      </c>
      <c r="R14" s="108">
        <v>18</v>
      </c>
      <c r="S14" s="108">
        <v>19</v>
      </c>
      <c r="T14" s="108">
        <v>20</v>
      </c>
      <c r="U14" s="108">
        <v>21</v>
      </c>
      <c r="V14" s="108">
        <v>22</v>
      </c>
      <c r="W14" s="108">
        <v>23</v>
      </c>
      <c r="X14" s="108">
        <v>24</v>
      </c>
    </row>
    <row r="15" spans="1:24" s="125" customFormat="1" ht="15" customHeight="1">
      <c r="A15" s="431" t="s">
        <v>63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</row>
    <row r="16" spans="1:24" ht="66.75" customHeight="1">
      <c r="A16" s="79">
        <v>1</v>
      </c>
      <c r="B16" s="84" t="s">
        <v>167</v>
      </c>
      <c r="C16" s="80" t="s">
        <v>168</v>
      </c>
      <c r="D16" s="30" t="s">
        <v>169</v>
      </c>
      <c r="E16" s="410" t="s">
        <v>198</v>
      </c>
      <c r="F16" s="288" t="s">
        <v>280</v>
      </c>
      <c r="G16" s="79">
        <v>2020</v>
      </c>
      <c r="H16" s="13">
        <v>334.805</v>
      </c>
      <c r="I16" s="13">
        <v>334.805</v>
      </c>
      <c r="J16" s="13">
        <v>334.805</v>
      </c>
      <c r="K16" s="10">
        <f>(J16-N16-M16)*95%</f>
        <v>314.8841025</v>
      </c>
      <c r="L16" s="10">
        <f>(J16-N16-M16)*5%</f>
        <v>16.5728475</v>
      </c>
      <c r="M16" s="10">
        <f>(J16-N16-(H16-I16))*1%+(H16-I16)</f>
        <v>3.34805</v>
      </c>
      <c r="N16" s="220"/>
      <c r="O16" s="13"/>
      <c r="P16" s="13"/>
      <c r="Q16" s="14"/>
      <c r="R16" s="14"/>
      <c r="S16" s="14"/>
      <c r="T16" s="14"/>
      <c r="U16" s="14"/>
      <c r="V16" s="13"/>
      <c r="W16" s="220"/>
      <c r="X16" s="14"/>
    </row>
    <row r="17" spans="1:24" ht="66" customHeight="1">
      <c r="A17" s="79">
        <v>2</v>
      </c>
      <c r="B17" s="84" t="s">
        <v>167</v>
      </c>
      <c r="C17" s="82" t="s">
        <v>197</v>
      </c>
      <c r="D17" s="116" t="s">
        <v>252</v>
      </c>
      <c r="E17" s="411"/>
      <c r="F17" s="276" t="s">
        <v>251</v>
      </c>
      <c r="G17" s="79">
        <v>2020</v>
      </c>
      <c r="H17" s="13">
        <v>17166</v>
      </c>
      <c r="I17" s="13">
        <v>17166</v>
      </c>
      <c r="J17" s="13">
        <v>17166</v>
      </c>
      <c r="K17" s="10">
        <f>(J17-N17-M17)*95%</f>
        <v>16144.623</v>
      </c>
      <c r="L17" s="10">
        <f>(J17-N17-M17)*5%</f>
        <v>849.7170000000001</v>
      </c>
      <c r="M17" s="10">
        <f>(J17-N17-(H17-I17))*1%+(H17-I17)</f>
        <v>171.66</v>
      </c>
      <c r="N17" s="220"/>
      <c r="O17" s="13"/>
      <c r="P17" s="10"/>
      <c r="Q17" s="10"/>
      <c r="R17" s="10"/>
      <c r="S17" s="14"/>
      <c r="T17" s="14"/>
      <c r="U17" s="14"/>
      <c r="V17" s="13"/>
      <c r="W17" s="220"/>
      <c r="X17" s="14"/>
    </row>
    <row r="18" spans="1:24" ht="57.75" customHeight="1">
      <c r="A18" s="79">
        <v>3</v>
      </c>
      <c r="B18" s="84" t="s">
        <v>167</v>
      </c>
      <c r="C18" s="82" t="s">
        <v>232</v>
      </c>
      <c r="D18" s="116" t="s">
        <v>253</v>
      </c>
      <c r="E18" s="412"/>
      <c r="F18" s="276" t="s">
        <v>251</v>
      </c>
      <c r="G18" s="79">
        <v>2020</v>
      </c>
      <c r="H18" s="13">
        <v>19849</v>
      </c>
      <c r="I18" s="13">
        <v>19849</v>
      </c>
      <c r="J18" s="13">
        <v>19849</v>
      </c>
      <c r="K18" s="10">
        <f>(J18-N18-M18)*95%</f>
        <v>18667.9845</v>
      </c>
      <c r="L18" s="10">
        <f>(J18-N18-M18)*5%</f>
        <v>982.5255</v>
      </c>
      <c r="M18" s="10">
        <f>(J18-N18-(H18-I18))*1%+(H18-I18)</f>
        <v>198.49</v>
      </c>
      <c r="N18" s="220"/>
      <c r="O18" s="13"/>
      <c r="P18" s="10"/>
      <c r="Q18" s="10"/>
      <c r="R18" s="10"/>
      <c r="S18" s="14"/>
      <c r="T18" s="14"/>
      <c r="U18" s="14"/>
      <c r="V18" s="13"/>
      <c r="W18" s="220"/>
      <c r="X18" s="14"/>
    </row>
    <row r="19" spans="1:24" s="114" customFormat="1" ht="30.75" customHeight="1">
      <c r="A19" s="153"/>
      <c r="B19" s="111" t="s">
        <v>16</v>
      </c>
      <c r="C19" s="111" t="s">
        <v>16</v>
      </c>
      <c r="D19" s="112" t="s">
        <v>17</v>
      </c>
      <c r="E19" s="110" t="s">
        <v>16</v>
      </c>
      <c r="F19" s="110" t="s">
        <v>16</v>
      </c>
      <c r="G19" s="110" t="s">
        <v>16</v>
      </c>
      <c r="H19" s="113">
        <f aca="true" t="shared" si="0" ref="H19:R19">SUM(H16:H18)</f>
        <v>37349.805</v>
      </c>
      <c r="I19" s="113">
        <f t="shared" si="0"/>
        <v>37349.805</v>
      </c>
      <c r="J19" s="113">
        <f t="shared" si="0"/>
        <v>37349.805</v>
      </c>
      <c r="K19" s="113">
        <f t="shared" si="0"/>
        <v>35127.4916025</v>
      </c>
      <c r="L19" s="113">
        <f t="shared" si="0"/>
        <v>1848.8153475</v>
      </c>
      <c r="M19" s="113">
        <f t="shared" si="0"/>
        <v>373.49805000000003</v>
      </c>
      <c r="N19" s="113">
        <f t="shared" si="0"/>
        <v>0</v>
      </c>
      <c r="O19" s="113">
        <f t="shared" si="0"/>
        <v>0</v>
      </c>
      <c r="P19" s="113">
        <f t="shared" si="0"/>
        <v>0</v>
      </c>
      <c r="Q19" s="113">
        <f t="shared" si="0"/>
        <v>0</v>
      </c>
      <c r="R19" s="113">
        <f t="shared" si="0"/>
        <v>0</v>
      </c>
      <c r="S19" s="113">
        <f aca="true" t="shared" si="1" ref="S19:X19">SUM(S16:S16)</f>
        <v>0</v>
      </c>
      <c r="T19" s="113">
        <f t="shared" si="1"/>
        <v>0</v>
      </c>
      <c r="U19" s="113">
        <f t="shared" si="1"/>
        <v>0</v>
      </c>
      <c r="V19" s="113">
        <f t="shared" si="1"/>
        <v>0</v>
      </c>
      <c r="W19" s="113">
        <f t="shared" si="1"/>
        <v>0</v>
      </c>
      <c r="X19" s="113">
        <f t="shared" si="1"/>
        <v>0</v>
      </c>
    </row>
    <row r="20" spans="1:24" s="117" customFormat="1" ht="18" customHeight="1">
      <c r="A20" s="429" t="s">
        <v>65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</row>
    <row r="21" spans="1:24" ht="83.25" customHeight="1">
      <c r="A21" s="79">
        <v>4</v>
      </c>
      <c r="B21" s="80" t="s">
        <v>167</v>
      </c>
      <c r="C21" s="80" t="s">
        <v>168</v>
      </c>
      <c r="D21" s="80" t="s">
        <v>214</v>
      </c>
      <c r="E21" s="435"/>
      <c r="F21" s="79" t="s">
        <v>44</v>
      </c>
      <c r="G21" s="79">
        <v>2020</v>
      </c>
      <c r="H21" s="13">
        <v>600</v>
      </c>
      <c r="I21" s="13">
        <v>600</v>
      </c>
      <c r="J21" s="13">
        <v>600</v>
      </c>
      <c r="K21" s="10">
        <f>(J21-N21-M21)*95%</f>
        <v>0</v>
      </c>
      <c r="L21" s="10">
        <f>(J21-N21-M21)*5%</f>
        <v>0</v>
      </c>
      <c r="M21" s="10">
        <f>(J21-N21-(H21-I21))*1%+(H21-I21)</f>
        <v>0</v>
      </c>
      <c r="N21" s="198">
        <v>600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72" customHeight="1">
      <c r="A22" s="79">
        <v>5</v>
      </c>
      <c r="B22" s="80" t="s">
        <v>167</v>
      </c>
      <c r="C22" s="82" t="s">
        <v>170</v>
      </c>
      <c r="D22" s="82" t="s">
        <v>222</v>
      </c>
      <c r="E22" s="436"/>
      <c r="F22" s="79" t="s">
        <v>44</v>
      </c>
      <c r="G22" s="79">
        <v>2020</v>
      </c>
      <c r="H22" s="296">
        <v>500</v>
      </c>
      <c r="I22" s="296">
        <v>500</v>
      </c>
      <c r="J22" s="296">
        <v>500</v>
      </c>
      <c r="K22" s="10">
        <f>(J22-N22-M22)*95%</f>
        <v>470.25</v>
      </c>
      <c r="L22" s="10">
        <f>(J22-N22-M22)*5%</f>
        <v>24.75</v>
      </c>
      <c r="M22" s="10">
        <f>(J22-N22-(H22-I22))*1%+(H22-I22)</f>
        <v>5</v>
      </c>
      <c r="N22" s="220"/>
      <c r="O22" s="13"/>
      <c r="P22" s="13"/>
      <c r="Q22" s="13"/>
      <c r="R22" s="13"/>
      <c r="S22" s="14"/>
      <c r="T22" s="13"/>
      <c r="U22" s="10"/>
      <c r="V22" s="10"/>
      <c r="W22" s="10"/>
      <c r="X22" s="220"/>
    </row>
    <row r="23" spans="1:24" ht="71.25" customHeight="1">
      <c r="A23" s="79">
        <v>6</v>
      </c>
      <c r="B23" s="80" t="s">
        <v>167</v>
      </c>
      <c r="C23" s="82" t="s">
        <v>170</v>
      </c>
      <c r="D23" s="116" t="s">
        <v>236</v>
      </c>
      <c r="E23" s="436"/>
      <c r="F23" s="79" t="s">
        <v>44</v>
      </c>
      <c r="G23" s="79">
        <v>2020</v>
      </c>
      <c r="H23" s="296">
        <v>3000</v>
      </c>
      <c r="I23" s="296">
        <v>3000</v>
      </c>
      <c r="J23" s="296">
        <v>3000</v>
      </c>
      <c r="K23" s="10">
        <f>(J23-N23-M23)*95%</f>
        <v>2821.5</v>
      </c>
      <c r="L23" s="10">
        <f>(J23-N23-M23)*5%</f>
        <v>148.5</v>
      </c>
      <c r="M23" s="10">
        <f>(J23-N23-(H23-I23))*1%+(H23-I23)</f>
        <v>30</v>
      </c>
      <c r="N23" s="96"/>
      <c r="O23" s="96"/>
      <c r="P23" s="96"/>
      <c r="Q23" s="96"/>
      <c r="R23" s="96"/>
      <c r="S23" s="95"/>
      <c r="T23" s="95"/>
      <c r="U23" s="95"/>
      <c r="V23" s="95"/>
      <c r="W23" s="95"/>
      <c r="X23" s="95"/>
    </row>
    <row r="24" spans="1:24" s="114" customFormat="1" ht="27" customHeight="1">
      <c r="A24" s="153"/>
      <c r="B24" s="164" t="s">
        <v>16</v>
      </c>
      <c r="C24" s="164" t="s">
        <v>16</v>
      </c>
      <c r="D24" s="101" t="s">
        <v>17</v>
      </c>
      <c r="E24" s="165" t="s">
        <v>16</v>
      </c>
      <c r="F24" s="165" t="s">
        <v>16</v>
      </c>
      <c r="G24" s="165" t="s">
        <v>16</v>
      </c>
      <c r="H24" s="113">
        <f>SUM(H21:H23)</f>
        <v>4100</v>
      </c>
      <c r="I24" s="113">
        <f aca="true" t="shared" si="2" ref="I24:X24">SUM(I21:I23)</f>
        <v>4100</v>
      </c>
      <c r="J24" s="113">
        <f t="shared" si="2"/>
        <v>4100</v>
      </c>
      <c r="K24" s="113">
        <f t="shared" si="2"/>
        <v>3291.75</v>
      </c>
      <c r="L24" s="113">
        <f t="shared" si="2"/>
        <v>173.25</v>
      </c>
      <c r="M24" s="113">
        <f t="shared" si="2"/>
        <v>35</v>
      </c>
      <c r="N24" s="113">
        <f t="shared" si="2"/>
        <v>600</v>
      </c>
      <c r="O24" s="113">
        <f t="shared" si="2"/>
        <v>0</v>
      </c>
      <c r="P24" s="113">
        <f t="shared" si="2"/>
        <v>0</v>
      </c>
      <c r="Q24" s="113">
        <f t="shared" si="2"/>
        <v>0</v>
      </c>
      <c r="R24" s="113">
        <f t="shared" si="2"/>
        <v>0</v>
      </c>
      <c r="S24" s="113">
        <f t="shared" si="2"/>
        <v>0</v>
      </c>
      <c r="T24" s="113">
        <f t="shared" si="2"/>
        <v>0</v>
      </c>
      <c r="U24" s="113">
        <f t="shared" si="2"/>
        <v>0</v>
      </c>
      <c r="V24" s="113">
        <f t="shared" si="2"/>
        <v>0</v>
      </c>
      <c r="W24" s="113">
        <f t="shared" si="2"/>
        <v>0</v>
      </c>
      <c r="X24" s="113">
        <f t="shared" si="2"/>
        <v>0</v>
      </c>
    </row>
    <row r="25" spans="1:24" s="114" customFormat="1" ht="27.75" customHeight="1">
      <c r="A25" s="153"/>
      <c r="B25" s="55" t="s">
        <v>16</v>
      </c>
      <c r="C25" s="55" t="s">
        <v>16</v>
      </c>
      <c r="D25" s="36" t="s">
        <v>18</v>
      </c>
      <c r="E25" s="171" t="s">
        <v>16</v>
      </c>
      <c r="F25" s="171" t="s">
        <v>16</v>
      </c>
      <c r="G25" s="171" t="s">
        <v>16</v>
      </c>
      <c r="H25" s="113">
        <f>H19+H24</f>
        <v>41449.805</v>
      </c>
      <c r="I25" s="113">
        <f aca="true" t="shared" si="3" ref="I25:X25">I19+I24</f>
        <v>41449.805</v>
      </c>
      <c r="J25" s="113">
        <f t="shared" si="3"/>
        <v>41449.805</v>
      </c>
      <c r="K25" s="113">
        <f t="shared" si="3"/>
        <v>38419.2416025</v>
      </c>
      <c r="L25" s="113">
        <f t="shared" si="3"/>
        <v>2022.0653475</v>
      </c>
      <c r="M25" s="113">
        <f t="shared" si="3"/>
        <v>408.49805000000003</v>
      </c>
      <c r="N25" s="113">
        <f t="shared" si="3"/>
        <v>600</v>
      </c>
      <c r="O25" s="113">
        <f t="shared" si="3"/>
        <v>0</v>
      </c>
      <c r="P25" s="113">
        <f t="shared" si="3"/>
        <v>0</v>
      </c>
      <c r="Q25" s="113">
        <f t="shared" si="3"/>
        <v>0</v>
      </c>
      <c r="R25" s="113">
        <f t="shared" si="3"/>
        <v>0</v>
      </c>
      <c r="S25" s="113">
        <f t="shared" si="3"/>
        <v>0</v>
      </c>
      <c r="T25" s="113">
        <f t="shared" si="3"/>
        <v>0</v>
      </c>
      <c r="U25" s="113">
        <f t="shared" si="3"/>
        <v>0</v>
      </c>
      <c r="V25" s="113">
        <f t="shared" si="3"/>
        <v>0</v>
      </c>
      <c r="W25" s="113">
        <f t="shared" si="3"/>
        <v>0</v>
      </c>
      <c r="X25" s="113">
        <f t="shared" si="3"/>
        <v>0</v>
      </c>
    </row>
    <row r="28" spans="1:3" ht="18">
      <c r="A28" s="221"/>
      <c r="B28" s="122"/>
      <c r="C28" s="122"/>
    </row>
    <row r="29" spans="1:24" s="127" customFormat="1" ht="22.5" customHeight="1">
      <c r="A29" s="344" t="s">
        <v>29</v>
      </c>
      <c r="B29" s="345"/>
      <c r="C29" s="345"/>
      <c r="D29" s="345"/>
      <c r="E29" s="345"/>
      <c r="F29" s="345"/>
      <c r="G29" s="154"/>
      <c r="H29" s="24"/>
      <c r="I29" s="24"/>
      <c r="J29" s="24"/>
      <c r="K29" s="24"/>
      <c r="L29" s="24"/>
      <c r="M29" s="24"/>
      <c r="N29" s="346" t="s">
        <v>28</v>
      </c>
      <c r="O29" s="347"/>
      <c r="P29" s="347"/>
      <c r="Q29" s="126"/>
      <c r="R29" s="346"/>
      <c r="S29" s="347"/>
      <c r="T29" s="347"/>
      <c r="U29" s="24"/>
      <c r="V29" s="24"/>
      <c r="W29" s="24"/>
      <c r="X29" s="24"/>
    </row>
    <row r="30" spans="1:24" s="26" customFormat="1" ht="93.75" customHeight="1">
      <c r="A30" s="129"/>
      <c r="B30" s="128"/>
      <c r="C30" s="128"/>
      <c r="D30" s="128"/>
      <c r="E30" s="128"/>
      <c r="F30" s="128"/>
      <c r="G30" s="130"/>
      <c r="H30" s="25"/>
      <c r="I30" s="25"/>
      <c r="J30" s="25"/>
      <c r="K30" s="25"/>
      <c r="L30" s="25"/>
      <c r="M30" s="25"/>
      <c r="N30" s="340"/>
      <c r="O30" s="341"/>
      <c r="P30" s="341"/>
      <c r="Q30" s="131"/>
      <c r="R30" s="340"/>
      <c r="S30" s="341"/>
      <c r="T30" s="341"/>
      <c r="U30" s="25"/>
      <c r="V30" s="25"/>
      <c r="W30" s="25"/>
      <c r="X30" s="25"/>
    </row>
    <row r="31" spans="1:24" s="26" customFormat="1" ht="20.25" customHeight="1">
      <c r="A31" s="428" t="s">
        <v>19</v>
      </c>
      <c r="B31" s="428"/>
      <c r="C31" s="428"/>
      <c r="D31" s="428"/>
      <c r="E31" s="128"/>
      <c r="F31" s="128"/>
      <c r="G31" s="130"/>
      <c r="H31" s="25"/>
      <c r="I31" s="25"/>
      <c r="J31" s="25"/>
      <c r="K31" s="25"/>
      <c r="L31" s="25"/>
      <c r="M31" s="25"/>
      <c r="N31" s="131"/>
      <c r="O31" s="131"/>
      <c r="P31" s="131"/>
      <c r="Q31" s="131"/>
      <c r="R31" s="131"/>
      <c r="S31" s="25"/>
      <c r="T31" s="25"/>
      <c r="U31" s="25"/>
      <c r="V31" s="25"/>
      <c r="W31" s="25"/>
      <c r="X31" s="25"/>
    </row>
    <row r="32" spans="1:24" s="26" customFormat="1" ht="20.25" customHeight="1">
      <c r="A32" s="428" t="s">
        <v>27</v>
      </c>
      <c r="B32" s="428"/>
      <c r="C32" s="428"/>
      <c r="D32" s="428"/>
      <c r="E32" s="128"/>
      <c r="F32" s="128"/>
      <c r="G32" s="130"/>
      <c r="H32" s="25"/>
      <c r="I32" s="25"/>
      <c r="J32" s="25"/>
      <c r="K32" s="25"/>
      <c r="L32" s="25"/>
      <c r="M32" s="25"/>
      <c r="N32" s="131"/>
      <c r="O32" s="131"/>
      <c r="P32" s="131"/>
      <c r="Q32" s="131"/>
      <c r="R32" s="131"/>
      <c r="S32" s="25"/>
      <c r="T32" s="25"/>
      <c r="U32" s="25"/>
      <c r="V32" s="25"/>
      <c r="W32" s="25"/>
      <c r="X32" s="25"/>
    </row>
  </sheetData>
  <sheetProtection/>
  <mergeCells count="38">
    <mergeCell ref="G10:G13"/>
    <mergeCell ref="E21:E23"/>
    <mergeCell ref="A29:F29"/>
    <mergeCell ref="N29:P29"/>
    <mergeCell ref="E16:E18"/>
    <mergeCell ref="O11:S11"/>
    <mergeCell ref="E10:E13"/>
    <mergeCell ref="R29:T29"/>
    <mergeCell ref="J10:N10"/>
    <mergeCell ref="N30:P30"/>
    <mergeCell ref="R30:T30"/>
    <mergeCell ref="T11:X11"/>
    <mergeCell ref="J12:J13"/>
    <mergeCell ref="K12:N12"/>
    <mergeCell ref="O12:O13"/>
    <mergeCell ref="P12:S12"/>
    <mergeCell ref="T12:T13"/>
    <mergeCell ref="U12:X12"/>
    <mergeCell ref="A7:X7"/>
    <mergeCell ref="A8:X8"/>
    <mergeCell ref="A10:A13"/>
    <mergeCell ref="B10:B13"/>
    <mergeCell ref="C10:C13"/>
    <mergeCell ref="D10:D13"/>
    <mergeCell ref="O10:S10"/>
    <mergeCell ref="T10:X10"/>
    <mergeCell ref="J11:N11"/>
    <mergeCell ref="F10:F13"/>
    <mergeCell ref="A31:D31"/>
    <mergeCell ref="A32:D32"/>
    <mergeCell ref="A6:X6"/>
    <mergeCell ref="A20:X20"/>
    <mergeCell ref="A3:X3"/>
    <mergeCell ref="A1:X1"/>
    <mergeCell ref="A4:X4"/>
    <mergeCell ref="A15:X15"/>
    <mergeCell ref="H10:H13"/>
    <mergeCell ref="I10:I13"/>
  </mergeCells>
  <hyperlinks>
    <hyperlink ref="A8" r:id="rId1" display="tyjcwt"/>
  </hyperlink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9" r:id="rId2"/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SheetLayoutView="90" zoomScalePageLayoutView="0" workbookViewId="0" topLeftCell="A16">
      <selection activeCell="A21" sqref="A21"/>
    </sheetView>
  </sheetViews>
  <sheetFormatPr defaultColWidth="14.421875" defaultRowHeight="15" customHeight="1"/>
  <cols>
    <col min="1" max="1" width="5.8515625" style="26" customWidth="1"/>
    <col min="2" max="2" width="18.00390625" style="26" customWidth="1"/>
    <col min="3" max="3" width="13.8515625" style="26" customWidth="1"/>
    <col min="4" max="4" width="19.7109375" style="26" customWidth="1"/>
    <col min="5" max="5" width="15.140625" style="26" customWidth="1"/>
    <col min="6" max="6" width="19.140625" style="223" customWidth="1"/>
    <col min="7" max="7" width="12.57421875" style="26" customWidth="1"/>
    <col min="8" max="8" width="11.8515625" style="23" customWidth="1"/>
    <col min="9" max="9" width="13.7109375" style="23" customWidth="1"/>
    <col min="10" max="10" width="9.7109375" style="23" customWidth="1"/>
    <col min="11" max="11" width="10.140625" style="23" customWidth="1"/>
    <col min="12" max="13" width="8.7109375" style="23" customWidth="1"/>
    <col min="14" max="14" width="7.8515625" style="23" customWidth="1"/>
    <col min="15" max="17" width="8.7109375" style="23" customWidth="1"/>
    <col min="18" max="18" width="6.8515625" style="23" customWidth="1"/>
    <col min="19" max="19" width="6.140625" style="23" customWidth="1"/>
    <col min="20" max="23" width="8.7109375" style="23" customWidth="1"/>
    <col min="24" max="24" width="6.28125" style="23" customWidth="1"/>
    <col min="25" max="16384" width="14.421875" style="26" customWidth="1"/>
  </cols>
  <sheetData>
    <row r="1" spans="1:24" ht="24.75" customHeight="1">
      <c r="A1" s="446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</row>
    <row r="2" spans="1:18" ht="17.25">
      <c r="A2" s="157"/>
      <c r="B2" s="157"/>
      <c r="C2" s="157"/>
      <c r="D2" s="157"/>
      <c r="E2" s="157"/>
      <c r="F2" s="222"/>
      <c r="G2" s="15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4" ht="17.25">
      <c r="A3" s="399" t="s">
        <v>80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4" spans="1:24" ht="18.75" customHeight="1">
      <c r="A4" s="401" t="s">
        <v>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</row>
    <row r="5" spans="1:18" ht="8.25" customHeight="1">
      <c r="A5" s="157"/>
      <c r="B5" s="157"/>
      <c r="C5" s="157"/>
      <c r="D5" s="158"/>
      <c r="E5" s="158"/>
      <c r="G5" s="158"/>
      <c r="H5" s="16"/>
      <c r="I5" s="16"/>
      <c r="J5" s="16"/>
      <c r="K5" s="16"/>
      <c r="L5" s="16"/>
      <c r="M5" s="16"/>
      <c r="N5" s="15"/>
      <c r="O5" s="15"/>
      <c r="P5" s="15"/>
      <c r="Q5" s="15"/>
      <c r="R5" s="15"/>
    </row>
    <row r="6" spans="1:24" ht="17.25">
      <c r="A6" s="402" t="s">
        <v>62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</row>
    <row r="7" spans="1:24" ht="13.5">
      <c r="A7" s="340" t="s">
        <v>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4" ht="17.25">
      <c r="A8" s="403" t="s">
        <v>58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</row>
    <row r="10" spans="1:24" ht="37.5" customHeight="1">
      <c r="A10" s="375" t="s">
        <v>57</v>
      </c>
      <c r="B10" s="375" t="s">
        <v>56</v>
      </c>
      <c r="C10" s="375" t="s">
        <v>3</v>
      </c>
      <c r="D10" s="375" t="s">
        <v>55</v>
      </c>
      <c r="E10" s="375" t="s">
        <v>4</v>
      </c>
      <c r="F10" s="375" t="s">
        <v>54</v>
      </c>
      <c r="G10" s="375" t="s">
        <v>53</v>
      </c>
      <c r="H10" s="373" t="s">
        <v>52</v>
      </c>
      <c r="I10" s="373" t="s">
        <v>20</v>
      </c>
      <c r="J10" s="369" t="s">
        <v>5</v>
      </c>
      <c r="K10" s="370"/>
      <c r="L10" s="370"/>
      <c r="M10" s="370"/>
      <c r="N10" s="371"/>
      <c r="O10" s="369" t="s">
        <v>5</v>
      </c>
      <c r="P10" s="370"/>
      <c r="Q10" s="370"/>
      <c r="R10" s="370"/>
      <c r="S10" s="371"/>
      <c r="T10" s="369" t="s">
        <v>5</v>
      </c>
      <c r="U10" s="370"/>
      <c r="V10" s="370"/>
      <c r="W10" s="370"/>
      <c r="X10" s="371"/>
    </row>
    <row r="11" spans="1:24" ht="27.75" customHeight="1">
      <c r="A11" s="376"/>
      <c r="B11" s="376"/>
      <c r="C11" s="376"/>
      <c r="D11" s="376"/>
      <c r="E11" s="376"/>
      <c r="F11" s="448"/>
      <c r="G11" s="376"/>
      <c r="H11" s="378"/>
      <c r="I11" s="378"/>
      <c r="J11" s="369" t="s">
        <v>6</v>
      </c>
      <c r="K11" s="370"/>
      <c r="L11" s="370"/>
      <c r="M11" s="370"/>
      <c r="N11" s="371"/>
      <c r="O11" s="369" t="s">
        <v>7</v>
      </c>
      <c r="P11" s="370"/>
      <c r="Q11" s="370"/>
      <c r="R11" s="370"/>
      <c r="S11" s="371"/>
      <c r="T11" s="369" t="s">
        <v>51</v>
      </c>
      <c r="U11" s="370"/>
      <c r="V11" s="370"/>
      <c r="W11" s="370"/>
      <c r="X11" s="371"/>
    </row>
    <row r="12" spans="1:24" ht="30" customHeight="1">
      <c r="A12" s="376"/>
      <c r="B12" s="376"/>
      <c r="C12" s="376"/>
      <c r="D12" s="376"/>
      <c r="E12" s="376"/>
      <c r="F12" s="448"/>
      <c r="G12" s="376"/>
      <c r="H12" s="378"/>
      <c r="I12" s="378"/>
      <c r="J12" s="373" t="s">
        <v>8</v>
      </c>
      <c r="K12" s="369" t="s">
        <v>9</v>
      </c>
      <c r="L12" s="370"/>
      <c r="M12" s="370"/>
      <c r="N12" s="371"/>
      <c r="O12" s="373" t="s">
        <v>8</v>
      </c>
      <c r="P12" s="369" t="s">
        <v>9</v>
      </c>
      <c r="Q12" s="370"/>
      <c r="R12" s="370"/>
      <c r="S12" s="371"/>
      <c r="T12" s="373" t="s">
        <v>8</v>
      </c>
      <c r="U12" s="369" t="s">
        <v>10</v>
      </c>
      <c r="V12" s="370"/>
      <c r="W12" s="370"/>
      <c r="X12" s="371"/>
    </row>
    <row r="13" spans="1:24" ht="24.75" customHeight="1">
      <c r="A13" s="377"/>
      <c r="B13" s="377"/>
      <c r="C13" s="377"/>
      <c r="D13" s="377"/>
      <c r="E13" s="377"/>
      <c r="F13" s="449"/>
      <c r="G13" s="377"/>
      <c r="H13" s="374"/>
      <c r="I13" s="374"/>
      <c r="J13" s="374"/>
      <c r="K13" s="159" t="s">
        <v>50</v>
      </c>
      <c r="L13" s="159" t="s">
        <v>49</v>
      </c>
      <c r="M13" s="159" t="s">
        <v>48</v>
      </c>
      <c r="N13" s="159" t="s">
        <v>47</v>
      </c>
      <c r="O13" s="374"/>
      <c r="P13" s="159" t="s">
        <v>11</v>
      </c>
      <c r="Q13" s="159" t="s">
        <v>12</v>
      </c>
      <c r="R13" s="159" t="s">
        <v>13</v>
      </c>
      <c r="S13" s="159" t="s">
        <v>14</v>
      </c>
      <c r="T13" s="374"/>
      <c r="U13" s="159" t="s">
        <v>11</v>
      </c>
      <c r="V13" s="159" t="s">
        <v>12</v>
      </c>
      <c r="W13" s="159" t="s">
        <v>13</v>
      </c>
      <c r="X13" s="159" t="s">
        <v>14</v>
      </c>
    </row>
    <row r="14" spans="1:24" ht="13.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1">
        <v>6</v>
      </c>
      <c r="G14" s="55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</row>
    <row r="15" spans="1:24" ht="13.5">
      <c r="A15" s="404" t="s">
        <v>63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6"/>
    </row>
    <row r="16" spans="1:24" s="178" customFormat="1" ht="93" customHeight="1">
      <c r="A16" s="156">
        <v>1</v>
      </c>
      <c r="B16" s="177" t="s">
        <v>167</v>
      </c>
      <c r="C16" s="307" t="s">
        <v>172</v>
      </c>
      <c r="D16" s="177" t="s">
        <v>215</v>
      </c>
      <c r="E16" s="408" t="s">
        <v>60</v>
      </c>
      <c r="F16" s="149" t="s">
        <v>284</v>
      </c>
      <c r="G16" s="149">
        <v>2020</v>
      </c>
      <c r="H16" s="308">
        <v>2013.3</v>
      </c>
      <c r="I16" s="308">
        <v>2013.3</v>
      </c>
      <c r="J16" s="308">
        <v>2013.3</v>
      </c>
      <c r="K16" s="10">
        <f>(J16-N16-M16)*95%</f>
        <v>0</v>
      </c>
      <c r="L16" s="10">
        <f>(J16-N16-M16)*5%</f>
        <v>0</v>
      </c>
      <c r="M16" s="10">
        <f>(J16-N16-(H16-I16))*1%+(H16-I16)</f>
        <v>0</v>
      </c>
      <c r="N16" s="10">
        <v>2013.3</v>
      </c>
      <c r="O16" s="308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65.25" customHeight="1">
      <c r="A17" s="149">
        <v>2</v>
      </c>
      <c r="B17" s="177" t="s">
        <v>167</v>
      </c>
      <c r="C17" s="307" t="s">
        <v>172</v>
      </c>
      <c r="D17" s="177" t="s">
        <v>173</v>
      </c>
      <c r="E17" s="445"/>
      <c r="F17" s="292" t="s">
        <v>280</v>
      </c>
      <c r="G17" s="149">
        <v>2020</v>
      </c>
      <c r="H17" s="308">
        <v>311.822</v>
      </c>
      <c r="I17" s="308">
        <v>311.822</v>
      </c>
      <c r="J17" s="308">
        <v>311.822</v>
      </c>
      <c r="K17" s="10">
        <f>(J17-N17-M17)*95%</f>
        <v>293.26859099999996</v>
      </c>
      <c r="L17" s="10">
        <f>(J17-N17-M17)*5%</f>
        <v>15.435189000000001</v>
      </c>
      <c r="M17" s="10">
        <f>(J17-N17-(H17-I17))*1%+(H17-I17)</f>
        <v>3.11822</v>
      </c>
      <c r="N17" s="308"/>
      <c r="O17" s="308"/>
      <c r="P17" s="10"/>
      <c r="Q17" s="10"/>
      <c r="R17" s="10"/>
      <c r="S17" s="308"/>
      <c r="T17" s="10"/>
      <c r="U17" s="308"/>
      <c r="V17" s="308"/>
      <c r="W17" s="308"/>
      <c r="X17" s="308"/>
    </row>
    <row r="18" spans="1:24" s="130" customFormat="1" ht="44.25" customHeight="1">
      <c r="A18" s="156">
        <v>3</v>
      </c>
      <c r="B18" s="177" t="s">
        <v>167</v>
      </c>
      <c r="C18" s="309" t="s">
        <v>172</v>
      </c>
      <c r="D18" s="177" t="s">
        <v>283</v>
      </c>
      <c r="E18" s="445"/>
      <c r="F18" s="149" t="s">
        <v>44</v>
      </c>
      <c r="G18" s="156">
        <v>2020</v>
      </c>
      <c r="H18" s="10">
        <v>1600</v>
      </c>
      <c r="I18" s="10">
        <v>1600</v>
      </c>
      <c r="J18" s="10">
        <v>1600</v>
      </c>
      <c r="K18" s="10">
        <f>(J18-N18-M18)*95%</f>
        <v>1504.8</v>
      </c>
      <c r="L18" s="10">
        <f>(J18-N18-M18)*5%</f>
        <v>79.2</v>
      </c>
      <c r="M18" s="10">
        <f>(J18-N18-(H18-I18))*1%+(H18-I18)</f>
        <v>16</v>
      </c>
      <c r="N18" s="310"/>
      <c r="O18" s="311"/>
      <c r="P18" s="311"/>
      <c r="Q18" s="311"/>
      <c r="R18" s="311"/>
      <c r="S18" s="311"/>
      <c r="T18" s="311"/>
      <c r="U18" s="311"/>
      <c r="V18" s="311"/>
      <c r="W18" s="311"/>
      <c r="X18" s="311"/>
    </row>
    <row r="19" spans="1:24" ht="31.5" customHeight="1">
      <c r="A19" s="312"/>
      <c r="B19" s="289" t="s">
        <v>16</v>
      </c>
      <c r="C19" s="289" t="s">
        <v>16</v>
      </c>
      <c r="D19" s="313" t="s">
        <v>17</v>
      </c>
      <c r="E19" s="314" t="s">
        <v>16</v>
      </c>
      <c r="F19" s="315" t="s">
        <v>16</v>
      </c>
      <c r="G19" s="314" t="s">
        <v>16</v>
      </c>
      <c r="H19" s="316">
        <f aca="true" t="shared" si="0" ref="H19:X19">SUM(H16:H18)</f>
        <v>3925.122</v>
      </c>
      <c r="I19" s="316">
        <f t="shared" si="0"/>
        <v>3925.122</v>
      </c>
      <c r="J19" s="316">
        <f t="shared" si="0"/>
        <v>3925.122</v>
      </c>
      <c r="K19" s="316">
        <f t="shared" si="0"/>
        <v>1798.068591</v>
      </c>
      <c r="L19" s="316">
        <f t="shared" si="0"/>
        <v>94.635189</v>
      </c>
      <c r="M19" s="316">
        <f t="shared" si="0"/>
        <v>19.11822</v>
      </c>
      <c r="N19" s="316">
        <f t="shared" si="0"/>
        <v>2013.3</v>
      </c>
      <c r="O19" s="316">
        <f t="shared" si="0"/>
        <v>0</v>
      </c>
      <c r="P19" s="316">
        <f t="shared" si="0"/>
        <v>0</v>
      </c>
      <c r="Q19" s="316">
        <f t="shared" si="0"/>
        <v>0</v>
      </c>
      <c r="R19" s="316">
        <f t="shared" si="0"/>
        <v>0</v>
      </c>
      <c r="S19" s="316">
        <f t="shared" si="0"/>
        <v>0</v>
      </c>
      <c r="T19" s="316">
        <f t="shared" si="0"/>
        <v>0</v>
      </c>
      <c r="U19" s="316">
        <f t="shared" si="0"/>
        <v>0</v>
      </c>
      <c r="V19" s="316">
        <f t="shared" si="0"/>
        <v>0</v>
      </c>
      <c r="W19" s="316">
        <f t="shared" si="0"/>
        <v>0</v>
      </c>
      <c r="X19" s="316">
        <f t="shared" si="0"/>
        <v>0</v>
      </c>
    </row>
    <row r="20" spans="1:24" ht="15.75" customHeight="1">
      <c r="A20" s="437" t="s">
        <v>65</v>
      </c>
      <c r="B20" s="438"/>
      <c r="C20" s="438"/>
      <c r="D20" s="439"/>
      <c r="E20" s="438"/>
      <c r="F20" s="438"/>
      <c r="G20" s="438"/>
      <c r="H20" s="440"/>
      <c r="I20" s="440"/>
      <c r="J20" s="440"/>
      <c r="K20" s="440"/>
      <c r="L20" s="440"/>
      <c r="M20" s="440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41"/>
    </row>
    <row r="21" spans="1:24" ht="68.25" customHeight="1">
      <c r="A21" s="317">
        <v>4</v>
      </c>
      <c r="B21" s="177" t="s">
        <v>167</v>
      </c>
      <c r="C21" s="318" t="s">
        <v>172</v>
      </c>
      <c r="D21" s="318" t="s">
        <v>286</v>
      </c>
      <c r="E21" s="319"/>
      <c r="F21" s="317" t="s">
        <v>44</v>
      </c>
      <c r="G21" s="317">
        <v>2020</v>
      </c>
      <c r="H21" s="305">
        <v>250</v>
      </c>
      <c r="I21" s="305">
        <v>250</v>
      </c>
      <c r="J21" s="305">
        <v>250</v>
      </c>
      <c r="K21" s="10">
        <f>(J21-N21-M21)*95%</f>
        <v>235.125</v>
      </c>
      <c r="L21" s="10">
        <f>(J21-N21-M21)*5%</f>
        <v>12.375</v>
      </c>
      <c r="M21" s="10">
        <f>(J21-N21-(H21-I21))*1%+(H21-I21)</f>
        <v>2.5</v>
      </c>
      <c r="N21" s="305"/>
      <c r="O21" s="305"/>
      <c r="P21" s="305"/>
      <c r="Q21" s="305"/>
      <c r="R21" s="305"/>
      <c r="S21" s="305"/>
      <c r="T21" s="10"/>
      <c r="U21" s="10"/>
      <c r="V21" s="10"/>
      <c r="W21" s="10"/>
      <c r="X21" s="305"/>
    </row>
    <row r="22" spans="1:24" ht="27.75" customHeight="1">
      <c r="A22" s="54"/>
      <c r="B22" s="55" t="s">
        <v>16</v>
      </c>
      <c r="C22" s="55" t="s">
        <v>16</v>
      </c>
      <c r="D22" s="36" t="s">
        <v>17</v>
      </c>
      <c r="E22" s="36"/>
      <c r="F22" s="224"/>
      <c r="G22" s="36"/>
      <c r="H22" s="19">
        <f aca="true" t="shared" si="1" ref="H22:N22">SUM(H21:H21)</f>
        <v>250</v>
      </c>
      <c r="I22" s="19">
        <f t="shared" si="1"/>
        <v>250</v>
      </c>
      <c r="J22" s="19">
        <f t="shared" si="1"/>
        <v>250</v>
      </c>
      <c r="K22" s="19">
        <f t="shared" si="1"/>
        <v>235.125</v>
      </c>
      <c r="L22" s="19">
        <f t="shared" si="1"/>
        <v>12.375</v>
      </c>
      <c r="M22" s="19">
        <f t="shared" si="1"/>
        <v>2.5</v>
      </c>
      <c r="N22" s="19">
        <f t="shared" si="1"/>
        <v>0</v>
      </c>
      <c r="O22" s="19">
        <f aca="true" t="shared" si="2" ref="O22:X22">SUM(O18:O21)</f>
        <v>0</v>
      </c>
      <c r="P22" s="19">
        <f t="shared" si="2"/>
        <v>0</v>
      </c>
      <c r="Q22" s="19">
        <f t="shared" si="2"/>
        <v>0</v>
      </c>
      <c r="R22" s="19">
        <f t="shared" si="2"/>
        <v>0</v>
      </c>
      <c r="S22" s="19">
        <f t="shared" si="2"/>
        <v>0</v>
      </c>
      <c r="T22" s="19">
        <f t="shared" si="2"/>
        <v>0</v>
      </c>
      <c r="U22" s="19">
        <f t="shared" si="2"/>
        <v>0</v>
      </c>
      <c r="V22" s="19">
        <f t="shared" si="2"/>
        <v>0</v>
      </c>
      <c r="W22" s="19">
        <f t="shared" si="2"/>
        <v>0</v>
      </c>
      <c r="X22" s="19">
        <f t="shared" si="2"/>
        <v>0</v>
      </c>
    </row>
    <row r="23" spans="1:24" ht="27.75" customHeight="1" hidden="1">
      <c r="A23" s="442" t="s">
        <v>119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4"/>
    </row>
    <row r="24" spans="1:24" ht="41.25" customHeight="1" hidden="1">
      <c r="A24" s="155">
        <v>8</v>
      </c>
      <c r="B24" s="6" t="s">
        <v>15</v>
      </c>
      <c r="C24" s="6"/>
      <c r="D24" s="11"/>
      <c r="E24" s="36"/>
      <c r="F24" s="155"/>
      <c r="G24" s="155"/>
      <c r="H24" s="9"/>
      <c r="I24" s="9"/>
      <c r="J24" s="9"/>
      <c r="K24" s="9"/>
      <c r="L24" s="9"/>
      <c r="M24" s="9"/>
      <c r="N24" s="9"/>
      <c r="O24" s="9"/>
      <c r="P24" s="10">
        <f>(O24-S24-R24)*95%</f>
        <v>0</v>
      </c>
      <c r="Q24" s="10">
        <f>(O24-S24-R24)*5%</f>
        <v>0</v>
      </c>
      <c r="R24" s="10">
        <f>(O24-S24)*1%</f>
        <v>0</v>
      </c>
      <c r="S24" s="9"/>
      <c r="T24" s="10"/>
      <c r="U24" s="9"/>
      <c r="V24" s="9"/>
      <c r="W24" s="9"/>
      <c r="X24" s="9"/>
    </row>
    <row r="25" spans="1:24" ht="41.25" customHeight="1" hidden="1">
      <c r="A25" s="155">
        <v>9</v>
      </c>
      <c r="B25" s="6" t="s">
        <v>15</v>
      </c>
      <c r="C25" s="6"/>
      <c r="D25" s="11"/>
      <c r="E25" s="36"/>
      <c r="F25" s="155"/>
      <c r="G25" s="15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10">
        <f>(T25-X25-W25)*95%</f>
        <v>0</v>
      </c>
      <c r="V25" s="10">
        <f>(T25-X25-W25)*5%</f>
        <v>0</v>
      </c>
      <c r="W25" s="10">
        <f>(T25-X25)*1%</f>
        <v>0</v>
      </c>
      <c r="X25" s="9"/>
    </row>
    <row r="26" spans="1:24" ht="80.25" customHeight="1" hidden="1">
      <c r="A26" s="37">
        <v>10</v>
      </c>
      <c r="B26" s="6" t="s">
        <v>15</v>
      </c>
      <c r="C26" s="6"/>
      <c r="D26" s="11"/>
      <c r="E26" s="36"/>
      <c r="F26" s="155"/>
      <c r="G26" s="15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10">
        <f>(T26-X26-W26)*95%</f>
        <v>0</v>
      </c>
      <c r="V26" s="10">
        <f>(T26-X26-W26)*5%</f>
        <v>0</v>
      </c>
      <c r="W26" s="10">
        <f>(T26-X26)*1%</f>
        <v>0</v>
      </c>
      <c r="X26" s="9"/>
    </row>
    <row r="27" spans="1:24" ht="27.75" customHeight="1" hidden="1">
      <c r="A27" s="54"/>
      <c r="B27" s="55" t="s">
        <v>16</v>
      </c>
      <c r="C27" s="55" t="s">
        <v>16</v>
      </c>
      <c r="D27" s="36" t="s">
        <v>17</v>
      </c>
      <c r="E27" s="36"/>
      <c r="F27" s="224"/>
      <c r="G27" s="36"/>
      <c r="H27" s="19">
        <f>SUM(H24:H26)</f>
        <v>0</v>
      </c>
      <c r="I27" s="19">
        <f aca="true" t="shared" si="3" ref="I27:X27">SUM(I24:I26)</f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  <c r="N27" s="19">
        <f t="shared" si="3"/>
        <v>0</v>
      </c>
      <c r="O27" s="19">
        <f t="shared" si="3"/>
        <v>0</v>
      </c>
      <c r="P27" s="19">
        <f t="shared" si="3"/>
        <v>0</v>
      </c>
      <c r="Q27" s="19">
        <f t="shared" si="3"/>
        <v>0</v>
      </c>
      <c r="R27" s="19">
        <f t="shared" si="3"/>
        <v>0</v>
      </c>
      <c r="S27" s="19">
        <f t="shared" si="3"/>
        <v>0</v>
      </c>
      <c r="T27" s="19">
        <f t="shared" si="3"/>
        <v>0</v>
      </c>
      <c r="U27" s="19">
        <f t="shared" si="3"/>
        <v>0</v>
      </c>
      <c r="V27" s="19">
        <f t="shared" si="3"/>
        <v>0</v>
      </c>
      <c r="W27" s="19">
        <f t="shared" si="3"/>
        <v>0</v>
      </c>
      <c r="X27" s="19">
        <f t="shared" si="3"/>
        <v>0</v>
      </c>
    </row>
    <row r="28" spans="1:24" ht="31.5" customHeight="1">
      <c r="A28" s="54"/>
      <c r="B28" s="55" t="s">
        <v>16</v>
      </c>
      <c r="C28" s="55" t="s">
        <v>16</v>
      </c>
      <c r="D28" s="36" t="s">
        <v>18</v>
      </c>
      <c r="E28" s="171" t="s">
        <v>16</v>
      </c>
      <c r="F28" s="224" t="s">
        <v>16</v>
      </c>
      <c r="G28" s="171" t="s">
        <v>16</v>
      </c>
      <c r="H28" s="19">
        <f aca="true" t="shared" si="4" ref="H28:X28">H19+H22+H27</f>
        <v>4175.121999999999</v>
      </c>
      <c r="I28" s="19">
        <f t="shared" si="4"/>
        <v>4175.121999999999</v>
      </c>
      <c r="J28" s="19">
        <f t="shared" si="4"/>
        <v>4175.121999999999</v>
      </c>
      <c r="K28" s="19">
        <f t="shared" si="4"/>
        <v>2033.193591</v>
      </c>
      <c r="L28" s="19">
        <f t="shared" si="4"/>
        <v>107.010189</v>
      </c>
      <c r="M28" s="19">
        <f t="shared" si="4"/>
        <v>21.61822</v>
      </c>
      <c r="N28" s="19">
        <f t="shared" si="4"/>
        <v>2013.3</v>
      </c>
      <c r="O28" s="19">
        <f t="shared" si="4"/>
        <v>0</v>
      </c>
      <c r="P28" s="19">
        <f t="shared" si="4"/>
        <v>0</v>
      </c>
      <c r="Q28" s="19">
        <f t="shared" si="4"/>
        <v>0</v>
      </c>
      <c r="R28" s="19">
        <f t="shared" si="4"/>
        <v>0</v>
      </c>
      <c r="S28" s="19">
        <f t="shared" si="4"/>
        <v>0</v>
      </c>
      <c r="T28" s="19">
        <f t="shared" si="4"/>
        <v>0</v>
      </c>
      <c r="U28" s="19">
        <f t="shared" si="4"/>
        <v>0</v>
      </c>
      <c r="V28" s="19">
        <f t="shared" si="4"/>
        <v>0</v>
      </c>
      <c r="W28" s="19">
        <f t="shared" si="4"/>
        <v>0</v>
      </c>
      <c r="X28" s="19">
        <f t="shared" si="4"/>
        <v>0</v>
      </c>
    </row>
    <row r="29" spans="1:24" ht="15.75" customHeight="1" hidden="1">
      <c r="A29" s="172"/>
      <c r="B29" s="172"/>
      <c r="C29" s="172"/>
      <c r="D29" s="172"/>
      <c r="E29" s="172"/>
      <c r="F29" s="51"/>
      <c r="G29" s="17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73"/>
      <c r="T29" s="173"/>
      <c r="U29" s="173"/>
      <c r="V29" s="173"/>
      <c r="W29" s="173"/>
      <c r="X29" s="173"/>
    </row>
    <row r="30" spans="1:18" ht="15.75" customHeight="1" hidden="1">
      <c r="A30" s="393" t="s">
        <v>43</v>
      </c>
      <c r="B30" s="368"/>
      <c r="C30" s="368"/>
      <c r="D30" s="174"/>
      <c r="E30" s="174"/>
      <c r="G30" s="17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24" ht="13.5" hidden="1">
      <c r="A31" s="372" t="s">
        <v>42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</row>
    <row r="32" spans="1:23" ht="13.5" hidden="1">
      <c r="A32" s="367" t="s">
        <v>41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</row>
    <row r="33" spans="1:23" ht="13.5" hidden="1">
      <c r="A33" s="367" t="s">
        <v>40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</row>
    <row r="34" spans="1:23" ht="13.5" hidden="1">
      <c r="A34" s="367" t="s">
        <v>39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</row>
    <row r="35" spans="1:23" ht="13.5" hidden="1">
      <c r="A35" s="367" t="s">
        <v>38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</row>
    <row r="36" spans="1:23" ht="13.5" hidden="1">
      <c r="A36" s="367" t="s">
        <v>37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</row>
    <row r="37" spans="1:23" ht="13.5" hidden="1">
      <c r="A37" s="367" t="s">
        <v>36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</row>
    <row r="38" spans="1:23" ht="24.75" customHeight="1" hidden="1">
      <c r="A38" s="367" t="s">
        <v>35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</row>
    <row r="39" spans="1:23" ht="25.5" customHeight="1" hidden="1">
      <c r="A39" s="367" t="s">
        <v>34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</row>
    <row r="40" spans="1:23" ht="13.5" hidden="1">
      <c r="A40" s="367" t="s">
        <v>33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</row>
    <row r="41" spans="1:23" ht="13.5" hidden="1">
      <c r="A41" s="367" t="s">
        <v>32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</row>
    <row r="42" spans="1:23" ht="13.5" hidden="1">
      <c r="A42" s="367" t="s">
        <v>31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</row>
    <row r="43" spans="1:23" ht="13.5" hidden="1">
      <c r="A43" s="367" t="s">
        <v>30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</row>
    <row r="44" spans="1:18" ht="15.75" customHeight="1">
      <c r="A44" s="175"/>
      <c r="B44" s="175"/>
      <c r="C44" s="175"/>
      <c r="D44" s="175"/>
      <c r="E44" s="175"/>
      <c r="G44" s="176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5.75" customHeight="1">
      <c r="A45" s="176"/>
      <c r="B45" s="176"/>
      <c r="C45" s="176"/>
      <c r="D45" s="176"/>
      <c r="E45" s="176"/>
      <c r="G45" s="176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ht="70.5" customHeight="1"/>
    <row r="47" spans="1:24" s="127" customFormat="1" ht="22.5" customHeight="1">
      <c r="A47" s="344" t="s">
        <v>29</v>
      </c>
      <c r="B47" s="345"/>
      <c r="C47" s="345"/>
      <c r="D47" s="345"/>
      <c r="E47" s="345"/>
      <c r="F47" s="345"/>
      <c r="G47" s="154"/>
      <c r="H47" s="24"/>
      <c r="I47" s="24"/>
      <c r="J47" s="24"/>
      <c r="K47" s="24"/>
      <c r="L47" s="24"/>
      <c r="M47" s="24"/>
      <c r="N47" s="346" t="s">
        <v>28</v>
      </c>
      <c r="O47" s="347"/>
      <c r="P47" s="347"/>
      <c r="Q47" s="126"/>
      <c r="R47" s="346"/>
      <c r="S47" s="347"/>
      <c r="T47" s="347"/>
      <c r="U47" s="24"/>
      <c r="V47" s="24"/>
      <c r="W47" s="24"/>
      <c r="X47" s="24"/>
    </row>
    <row r="48" spans="1:24" ht="56.25" customHeight="1">
      <c r="A48" s="128"/>
      <c r="B48" s="128"/>
      <c r="C48" s="128"/>
      <c r="D48" s="128"/>
      <c r="E48" s="128"/>
      <c r="F48" s="225"/>
      <c r="G48" s="130"/>
      <c r="H48" s="25"/>
      <c r="I48" s="25"/>
      <c r="J48" s="25"/>
      <c r="K48" s="25"/>
      <c r="L48" s="25"/>
      <c r="M48" s="25"/>
      <c r="N48" s="340"/>
      <c r="O48" s="341"/>
      <c r="P48" s="341"/>
      <c r="Q48" s="131"/>
      <c r="R48" s="340"/>
      <c r="S48" s="341"/>
      <c r="T48" s="341"/>
      <c r="U48" s="25"/>
      <c r="V48" s="25"/>
      <c r="W48" s="25"/>
      <c r="X48" s="25"/>
    </row>
    <row r="49" spans="1:24" ht="15.75" customHeight="1">
      <c r="A49" s="132" t="s">
        <v>19</v>
      </c>
      <c r="B49" s="133"/>
      <c r="C49" s="132"/>
      <c r="D49" s="132"/>
      <c r="E49" s="128"/>
      <c r="F49" s="225"/>
      <c r="G49" s="130"/>
      <c r="H49" s="25"/>
      <c r="I49" s="25"/>
      <c r="J49" s="25"/>
      <c r="K49" s="25"/>
      <c r="L49" s="25"/>
      <c r="M49" s="25"/>
      <c r="N49" s="131"/>
      <c r="O49" s="131"/>
      <c r="P49" s="131"/>
      <c r="Q49" s="131"/>
      <c r="R49" s="131"/>
      <c r="S49" s="25"/>
      <c r="T49" s="25"/>
      <c r="U49" s="25"/>
      <c r="V49" s="25"/>
      <c r="W49" s="25"/>
      <c r="X49" s="25"/>
    </row>
    <row r="50" spans="1:24" ht="20.25" customHeight="1">
      <c r="A50" s="132" t="s">
        <v>27</v>
      </c>
      <c r="B50" s="132"/>
      <c r="C50" s="132"/>
      <c r="D50" s="132"/>
      <c r="E50" s="128"/>
      <c r="F50" s="225"/>
      <c r="G50" s="130"/>
      <c r="H50" s="25"/>
      <c r="I50" s="25"/>
      <c r="J50" s="25"/>
      <c r="K50" s="25"/>
      <c r="L50" s="25"/>
      <c r="M50" s="25"/>
      <c r="N50" s="131"/>
      <c r="O50" s="131"/>
      <c r="P50" s="131"/>
      <c r="Q50" s="131"/>
      <c r="R50" s="131"/>
      <c r="S50" s="25"/>
      <c r="T50" s="25"/>
      <c r="U50" s="25"/>
      <c r="V50" s="25"/>
      <c r="W50" s="25"/>
      <c r="X50" s="25"/>
    </row>
    <row r="51" spans="1:24" ht="38.25" customHeight="1">
      <c r="A51" s="379"/>
      <c r="B51" s="380"/>
      <c r="C51" s="380"/>
      <c r="D51" s="380"/>
      <c r="E51" s="380"/>
      <c r="F51" s="380"/>
      <c r="G51" s="130"/>
      <c r="H51" s="25"/>
      <c r="I51" s="25"/>
      <c r="J51" s="25"/>
      <c r="K51" s="25"/>
      <c r="L51" s="25"/>
      <c r="M51" s="25"/>
      <c r="N51" s="340"/>
      <c r="O51" s="341"/>
      <c r="P51" s="341"/>
      <c r="Q51" s="25"/>
      <c r="R51" s="384"/>
      <c r="S51" s="341"/>
      <c r="T51" s="341"/>
      <c r="U51" s="25"/>
      <c r="V51" s="382"/>
      <c r="W51" s="341"/>
      <c r="X51" s="25"/>
    </row>
    <row r="52" spans="1:24" ht="15.75" customHeight="1">
      <c r="A52" s="130"/>
      <c r="B52" s="130"/>
      <c r="C52" s="130"/>
      <c r="D52" s="130"/>
      <c r="E52" s="130"/>
      <c r="F52" s="226"/>
      <c r="G52" s="130"/>
      <c r="H52" s="25"/>
      <c r="I52" s="25"/>
      <c r="J52" s="25"/>
      <c r="K52" s="25"/>
      <c r="L52" s="25"/>
      <c r="M52" s="25"/>
      <c r="N52" s="340"/>
      <c r="O52" s="341"/>
      <c r="P52" s="341"/>
      <c r="Q52" s="25"/>
      <c r="R52" s="340"/>
      <c r="S52" s="341"/>
      <c r="T52" s="341"/>
      <c r="U52" s="25"/>
      <c r="V52" s="381"/>
      <c r="W52" s="341"/>
      <c r="X52" s="2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57">
    <mergeCell ref="D10:D13"/>
    <mergeCell ref="U12:X12"/>
    <mergeCell ref="A15:X15"/>
    <mergeCell ref="H10:H13"/>
    <mergeCell ref="I10:I13"/>
    <mergeCell ref="J10:N10"/>
    <mergeCell ref="G10:G13"/>
    <mergeCell ref="B10:B13"/>
    <mergeCell ref="F10:F13"/>
    <mergeCell ref="O12:O13"/>
    <mergeCell ref="E16:E18"/>
    <mergeCell ref="C10:C13"/>
    <mergeCell ref="A1:X1"/>
    <mergeCell ref="A3:X3"/>
    <mergeCell ref="A6:X6"/>
    <mergeCell ref="A7:X7"/>
    <mergeCell ref="A10:A13"/>
    <mergeCell ref="K12:N12"/>
    <mergeCell ref="A8:X8"/>
    <mergeCell ref="E10:E13"/>
    <mergeCell ref="A30:C30"/>
    <mergeCell ref="A31:X31"/>
    <mergeCell ref="O10:S10"/>
    <mergeCell ref="T10:X10"/>
    <mergeCell ref="J11:N11"/>
    <mergeCell ref="O11:S11"/>
    <mergeCell ref="T11:X11"/>
    <mergeCell ref="J12:J13"/>
    <mergeCell ref="P12:S12"/>
    <mergeCell ref="T12:T13"/>
    <mergeCell ref="A39:W39"/>
    <mergeCell ref="A51:F51"/>
    <mergeCell ref="R47:T47"/>
    <mergeCell ref="A34:W34"/>
    <mergeCell ref="A35:W35"/>
    <mergeCell ref="V51:W51"/>
    <mergeCell ref="N51:P51"/>
    <mergeCell ref="A4:X4"/>
    <mergeCell ref="A40:W40"/>
    <mergeCell ref="A41:W41"/>
    <mergeCell ref="A42:W42"/>
    <mergeCell ref="A43:W43"/>
    <mergeCell ref="N52:P52"/>
    <mergeCell ref="R52:T52"/>
    <mergeCell ref="V52:W52"/>
    <mergeCell ref="A47:F47"/>
    <mergeCell ref="N47:P47"/>
    <mergeCell ref="A20:X20"/>
    <mergeCell ref="A37:W37"/>
    <mergeCell ref="R51:T51"/>
    <mergeCell ref="N48:P48"/>
    <mergeCell ref="R48:T48"/>
    <mergeCell ref="A23:X23"/>
    <mergeCell ref="A32:W32"/>
    <mergeCell ref="A33:W33"/>
    <mergeCell ref="A36:W36"/>
    <mergeCell ref="A38:W38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view="pageBreakPreview" zoomScaleSheetLayoutView="100" zoomScalePageLayoutView="0" workbookViewId="0" topLeftCell="A13">
      <selection activeCell="F19" sqref="F19"/>
    </sheetView>
  </sheetViews>
  <sheetFormatPr defaultColWidth="14.421875" defaultRowHeight="15" customHeight="1"/>
  <cols>
    <col min="1" max="1" width="5.8515625" style="46" customWidth="1"/>
    <col min="2" max="2" width="16.8515625" style="46" customWidth="1"/>
    <col min="3" max="3" width="13.8515625" style="46" customWidth="1"/>
    <col min="4" max="4" width="17.140625" style="46" customWidth="1"/>
    <col min="5" max="5" width="16.8515625" style="46" customWidth="1"/>
    <col min="6" max="6" width="18.421875" style="239" customWidth="1"/>
    <col min="7" max="7" width="12.140625" style="46" customWidth="1"/>
    <col min="8" max="8" width="11.8515625" style="46" customWidth="1"/>
    <col min="9" max="9" width="13.7109375" style="46" customWidth="1"/>
    <col min="10" max="24" width="8.7109375" style="46" customWidth="1"/>
    <col min="25" max="16384" width="14.421875" style="46" customWidth="1"/>
  </cols>
  <sheetData>
    <row r="1" spans="1:24" ht="17.25">
      <c r="A1" s="463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</row>
    <row r="2" spans="1:18" ht="17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17.25">
      <c r="A3" s="227"/>
      <c r="B3" s="228"/>
      <c r="C3" s="228"/>
      <c r="D3" s="228"/>
      <c r="E3" s="464" t="s">
        <v>121</v>
      </c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</row>
    <row r="4" spans="1:18" ht="17.25">
      <c r="A4" s="227"/>
      <c r="B4" s="227"/>
      <c r="C4" s="227"/>
      <c r="E4" s="460" t="s">
        <v>1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1:18" ht="8.25" customHeight="1">
      <c r="A5" s="227"/>
      <c r="B5" s="227"/>
      <c r="C5" s="227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7"/>
      <c r="O5" s="227"/>
      <c r="P5" s="227"/>
      <c r="Q5" s="227"/>
      <c r="R5" s="227"/>
    </row>
    <row r="6" spans="1:18" ht="18">
      <c r="A6" s="230"/>
      <c r="B6" s="230"/>
      <c r="C6" s="230"/>
      <c r="D6" s="230"/>
      <c r="E6" s="230"/>
      <c r="F6" s="229"/>
      <c r="G6" s="230"/>
      <c r="H6" s="464" t="s">
        <v>62</v>
      </c>
      <c r="I6" s="466"/>
      <c r="J6" s="466"/>
      <c r="K6" s="466"/>
      <c r="L6" s="466"/>
      <c r="M6" s="466"/>
      <c r="N6" s="466"/>
      <c r="O6" s="230"/>
      <c r="P6" s="230"/>
      <c r="Q6" s="230"/>
      <c r="R6" s="230"/>
    </row>
    <row r="7" spans="1:18" ht="14.25">
      <c r="A7" s="230"/>
      <c r="B7" s="230"/>
      <c r="C7" s="230"/>
      <c r="D7" s="230"/>
      <c r="E7" s="230"/>
      <c r="F7" s="229"/>
      <c r="G7" s="230"/>
      <c r="H7" s="460" t="s">
        <v>2</v>
      </c>
      <c r="I7" s="423"/>
      <c r="J7" s="423"/>
      <c r="K7" s="423"/>
      <c r="L7" s="423"/>
      <c r="M7" s="423"/>
      <c r="N7" s="423"/>
      <c r="O7" s="230"/>
      <c r="P7" s="230"/>
      <c r="Q7" s="230"/>
      <c r="R7" s="230"/>
    </row>
    <row r="8" spans="1:18" ht="18">
      <c r="A8" s="231"/>
      <c r="B8" s="231"/>
      <c r="C8" s="231"/>
      <c r="D8" s="231"/>
      <c r="E8" s="231"/>
      <c r="F8" s="232"/>
      <c r="G8" s="231"/>
      <c r="H8" s="463" t="s">
        <v>96</v>
      </c>
      <c r="I8" s="456"/>
      <c r="J8" s="456"/>
      <c r="K8" s="456"/>
      <c r="L8" s="456"/>
      <c r="M8" s="456"/>
      <c r="N8" s="456"/>
      <c r="O8" s="231"/>
      <c r="P8" s="231"/>
      <c r="Q8" s="231"/>
      <c r="R8" s="231"/>
    </row>
    <row r="9" spans="1:18" ht="14.25">
      <c r="A9" s="230"/>
      <c r="B9" s="230"/>
      <c r="C9" s="230"/>
      <c r="D9" s="230"/>
      <c r="E9" s="230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1" spans="1:24" ht="37.5" customHeight="1">
      <c r="A11" s="453" t="s">
        <v>95</v>
      </c>
      <c r="B11" s="453" t="s">
        <v>94</v>
      </c>
      <c r="C11" s="453" t="s">
        <v>3</v>
      </c>
      <c r="D11" s="453" t="s">
        <v>93</v>
      </c>
      <c r="E11" s="453" t="s">
        <v>4</v>
      </c>
      <c r="F11" s="453" t="s">
        <v>92</v>
      </c>
      <c r="G11" s="453" t="s">
        <v>91</v>
      </c>
      <c r="H11" s="453" t="s">
        <v>90</v>
      </c>
      <c r="I11" s="453" t="s">
        <v>20</v>
      </c>
      <c r="J11" s="450" t="s">
        <v>5</v>
      </c>
      <c r="K11" s="451"/>
      <c r="L11" s="451"/>
      <c r="M11" s="451"/>
      <c r="N11" s="452"/>
      <c r="O11" s="450" t="s">
        <v>5</v>
      </c>
      <c r="P11" s="451"/>
      <c r="Q11" s="451"/>
      <c r="R11" s="451"/>
      <c r="S11" s="452"/>
      <c r="T11" s="450" t="s">
        <v>5</v>
      </c>
      <c r="U11" s="451"/>
      <c r="V11" s="451"/>
      <c r="W11" s="451"/>
      <c r="X11" s="452"/>
    </row>
    <row r="12" spans="1:24" ht="14.25">
      <c r="A12" s="457"/>
      <c r="B12" s="457"/>
      <c r="C12" s="457"/>
      <c r="D12" s="457"/>
      <c r="E12" s="457"/>
      <c r="F12" s="461"/>
      <c r="G12" s="457"/>
      <c r="H12" s="457"/>
      <c r="I12" s="457"/>
      <c r="J12" s="450" t="s">
        <v>6</v>
      </c>
      <c r="K12" s="451"/>
      <c r="L12" s="451"/>
      <c r="M12" s="451"/>
      <c r="N12" s="452"/>
      <c r="O12" s="450" t="s">
        <v>7</v>
      </c>
      <c r="P12" s="451"/>
      <c r="Q12" s="451"/>
      <c r="R12" s="451"/>
      <c r="S12" s="452"/>
      <c r="T12" s="450" t="s">
        <v>51</v>
      </c>
      <c r="U12" s="451"/>
      <c r="V12" s="451"/>
      <c r="W12" s="451"/>
      <c r="X12" s="452"/>
    </row>
    <row r="13" spans="1:24" ht="14.25">
      <c r="A13" s="457"/>
      <c r="B13" s="457"/>
      <c r="C13" s="457"/>
      <c r="D13" s="457"/>
      <c r="E13" s="457"/>
      <c r="F13" s="461"/>
      <c r="G13" s="457"/>
      <c r="H13" s="457"/>
      <c r="I13" s="457"/>
      <c r="J13" s="453" t="s">
        <v>8</v>
      </c>
      <c r="K13" s="450" t="s">
        <v>9</v>
      </c>
      <c r="L13" s="451"/>
      <c r="M13" s="451"/>
      <c r="N13" s="452"/>
      <c r="O13" s="453" t="s">
        <v>8</v>
      </c>
      <c r="P13" s="450" t="s">
        <v>9</v>
      </c>
      <c r="Q13" s="451"/>
      <c r="R13" s="451"/>
      <c r="S13" s="452"/>
      <c r="T13" s="453" t="s">
        <v>8</v>
      </c>
      <c r="U13" s="450" t="s">
        <v>10</v>
      </c>
      <c r="V13" s="451"/>
      <c r="W13" s="451"/>
      <c r="X13" s="452"/>
    </row>
    <row r="14" spans="1:24" ht="39" customHeight="1">
      <c r="A14" s="454"/>
      <c r="B14" s="454"/>
      <c r="C14" s="454"/>
      <c r="D14" s="454"/>
      <c r="E14" s="454"/>
      <c r="F14" s="462"/>
      <c r="G14" s="454"/>
      <c r="H14" s="454"/>
      <c r="I14" s="454"/>
      <c r="J14" s="454"/>
      <c r="K14" s="212" t="s">
        <v>89</v>
      </c>
      <c r="L14" s="212" t="s">
        <v>88</v>
      </c>
      <c r="M14" s="212" t="s">
        <v>87</v>
      </c>
      <c r="N14" s="212" t="s">
        <v>86</v>
      </c>
      <c r="O14" s="454"/>
      <c r="P14" s="212" t="s">
        <v>11</v>
      </c>
      <c r="Q14" s="212" t="s">
        <v>12</v>
      </c>
      <c r="R14" s="212" t="s">
        <v>13</v>
      </c>
      <c r="S14" s="212" t="s">
        <v>14</v>
      </c>
      <c r="T14" s="454"/>
      <c r="U14" s="212" t="s">
        <v>11</v>
      </c>
      <c r="V14" s="212" t="s">
        <v>12</v>
      </c>
      <c r="W14" s="212" t="s">
        <v>13</v>
      </c>
      <c r="X14" s="212" t="s">
        <v>14</v>
      </c>
    </row>
    <row r="15" spans="1:24" ht="14.25">
      <c r="A15" s="212">
        <v>1</v>
      </c>
      <c r="B15" s="212">
        <v>2</v>
      </c>
      <c r="C15" s="212">
        <v>3</v>
      </c>
      <c r="D15" s="212">
        <v>4</v>
      </c>
      <c r="E15" s="212">
        <v>5</v>
      </c>
      <c r="F15" s="212">
        <v>6</v>
      </c>
      <c r="G15" s="212">
        <v>7</v>
      </c>
      <c r="H15" s="212">
        <v>8</v>
      </c>
      <c r="I15" s="212">
        <v>9</v>
      </c>
      <c r="J15" s="212">
        <v>10</v>
      </c>
      <c r="K15" s="212">
        <v>11</v>
      </c>
      <c r="L15" s="212">
        <v>12</v>
      </c>
      <c r="M15" s="212">
        <v>13</v>
      </c>
      <c r="N15" s="212">
        <v>14</v>
      </c>
      <c r="O15" s="212">
        <v>15</v>
      </c>
      <c r="P15" s="212">
        <v>16</v>
      </c>
      <c r="Q15" s="212">
        <v>17</v>
      </c>
      <c r="R15" s="212">
        <v>18</v>
      </c>
      <c r="S15" s="212">
        <v>19</v>
      </c>
      <c r="T15" s="212">
        <v>20</v>
      </c>
      <c r="U15" s="212">
        <v>21</v>
      </c>
      <c r="V15" s="212">
        <v>22</v>
      </c>
      <c r="W15" s="212">
        <v>23</v>
      </c>
      <c r="X15" s="212">
        <v>24</v>
      </c>
    </row>
    <row r="16" spans="1:24" ht="14.25">
      <c r="A16" s="422" t="s">
        <v>63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4"/>
    </row>
    <row r="17" spans="1:24" ht="77.25" customHeight="1">
      <c r="A17" s="30">
        <v>1</v>
      </c>
      <c r="B17" s="80" t="s">
        <v>167</v>
      </c>
      <c r="C17" s="116" t="s">
        <v>190</v>
      </c>
      <c r="D17" s="30" t="s">
        <v>223</v>
      </c>
      <c r="E17" s="458" t="s">
        <v>224</v>
      </c>
      <c r="F17" s="292" t="s">
        <v>280</v>
      </c>
      <c r="G17" s="79">
        <v>2020</v>
      </c>
      <c r="H17" s="13">
        <v>1359.764</v>
      </c>
      <c r="I17" s="13">
        <v>1359.764</v>
      </c>
      <c r="J17" s="13">
        <v>1359.764</v>
      </c>
      <c r="K17" s="10">
        <f>(J17-N17-M17)*95%</f>
        <v>1278.8580419999998</v>
      </c>
      <c r="L17" s="10">
        <f>(J17-N17-M17)*5%</f>
        <v>67.308318</v>
      </c>
      <c r="M17" s="10">
        <f>(J17-N17-(H17-I17))*1%+(H17-I17)</f>
        <v>13.597639999999998</v>
      </c>
      <c r="N17" s="10"/>
      <c r="O17" s="45"/>
      <c r="P17" s="10"/>
      <c r="Q17" s="10"/>
      <c r="R17" s="10"/>
      <c r="S17" s="45"/>
      <c r="T17" s="45"/>
      <c r="U17" s="45"/>
      <c r="V17" s="45"/>
      <c r="W17" s="45"/>
      <c r="X17" s="45"/>
    </row>
    <row r="18" spans="1:24" ht="75" customHeight="1">
      <c r="A18" s="44">
        <v>2</v>
      </c>
      <c r="B18" s="42" t="s">
        <v>167</v>
      </c>
      <c r="C18" s="42" t="s">
        <v>190</v>
      </c>
      <c r="D18" s="42" t="s">
        <v>250</v>
      </c>
      <c r="E18" s="459"/>
      <c r="F18" s="44" t="s">
        <v>44</v>
      </c>
      <c r="G18" s="44">
        <v>2020</v>
      </c>
      <c r="H18" s="45">
        <v>1600</v>
      </c>
      <c r="I18" s="45">
        <v>1600</v>
      </c>
      <c r="J18" s="45">
        <v>1600</v>
      </c>
      <c r="K18" s="10">
        <f>(J18-N18-M18)*95%</f>
        <v>1504.8</v>
      </c>
      <c r="L18" s="10">
        <f>(J18-N18-M18)*5%</f>
        <v>79.2</v>
      </c>
      <c r="M18" s="10">
        <f>(J18-N18-(H18-I18))*1%+(H18-I18)</f>
        <v>16</v>
      </c>
      <c r="N18" s="45"/>
      <c r="O18" s="45"/>
      <c r="P18" s="10"/>
      <c r="Q18" s="10"/>
      <c r="R18" s="10"/>
      <c r="S18" s="10"/>
      <c r="T18" s="45"/>
      <c r="U18" s="45"/>
      <c r="V18" s="45"/>
      <c r="W18" s="45"/>
      <c r="X18" s="45"/>
    </row>
    <row r="19" spans="1:24" ht="31.5" customHeight="1">
      <c r="A19" s="211"/>
      <c r="B19" s="212" t="s">
        <v>16</v>
      </c>
      <c r="C19" s="212" t="s">
        <v>16</v>
      </c>
      <c r="D19" s="213" t="s">
        <v>17</v>
      </c>
      <c r="E19" s="214" t="s">
        <v>16</v>
      </c>
      <c r="F19" s="214" t="s">
        <v>16</v>
      </c>
      <c r="G19" s="214" t="s">
        <v>16</v>
      </c>
      <c r="H19" s="215">
        <f>SUM(H17:H18)</f>
        <v>2959.764</v>
      </c>
      <c r="I19" s="215">
        <f aca="true" t="shared" si="0" ref="I19:N19">SUM(I17:I18)</f>
        <v>2959.764</v>
      </c>
      <c r="J19" s="215">
        <f t="shared" si="0"/>
        <v>2959.764</v>
      </c>
      <c r="K19" s="215">
        <f t="shared" si="0"/>
        <v>2783.658042</v>
      </c>
      <c r="L19" s="215">
        <f t="shared" si="0"/>
        <v>146.508318</v>
      </c>
      <c r="M19" s="215">
        <f t="shared" si="0"/>
        <v>29.59764</v>
      </c>
      <c r="N19" s="215">
        <f t="shared" si="0"/>
        <v>0</v>
      </c>
      <c r="O19" s="215">
        <f aca="true" t="shared" si="1" ref="O19:X19">SUM(O17:O18)</f>
        <v>0</v>
      </c>
      <c r="P19" s="215">
        <f t="shared" si="1"/>
        <v>0</v>
      </c>
      <c r="Q19" s="215">
        <f t="shared" si="1"/>
        <v>0</v>
      </c>
      <c r="R19" s="215">
        <f t="shared" si="1"/>
        <v>0</v>
      </c>
      <c r="S19" s="215">
        <f t="shared" si="1"/>
        <v>0</v>
      </c>
      <c r="T19" s="215">
        <f t="shared" si="1"/>
        <v>0</v>
      </c>
      <c r="U19" s="215">
        <f t="shared" si="1"/>
        <v>0</v>
      </c>
      <c r="V19" s="215">
        <f t="shared" si="1"/>
        <v>0</v>
      </c>
      <c r="W19" s="215">
        <f t="shared" si="1"/>
        <v>0</v>
      </c>
      <c r="X19" s="215">
        <f t="shared" si="1"/>
        <v>0</v>
      </c>
    </row>
    <row r="20" spans="1:24" ht="15.75" customHeight="1">
      <c r="A20" s="422" t="s">
        <v>65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4"/>
    </row>
    <row r="21" spans="1:24" ht="60">
      <c r="A21" s="44">
        <v>3</v>
      </c>
      <c r="B21" s="42" t="s">
        <v>167</v>
      </c>
      <c r="C21" s="42" t="s">
        <v>190</v>
      </c>
      <c r="D21" s="42" t="s">
        <v>216</v>
      </c>
      <c r="E21" s="43"/>
      <c r="F21" s="44" t="s">
        <v>44</v>
      </c>
      <c r="G21" s="44">
        <v>2020</v>
      </c>
      <c r="H21" s="45">
        <v>600</v>
      </c>
      <c r="I21" s="45">
        <v>600</v>
      </c>
      <c r="J21" s="45">
        <v>600</v>
      </c>
      <c r="K21" s="10">
        <f>(J21-N21-M21)*95%</f>
        <v>0</v>
      </c>
      <c r="L21" s="10">
        <f>(J21-N21-M21)*5%</f>
        <v>0</v>
      </c>
      <c r="M21" s="10">
        <f>(J21-N21-(H21-I21))*1%+(H21-I21)</f>
        <v>0</v>
      </c>
      <c r="N21" s="45">
        <v>600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27.75" customHeight="1">
      <c r="A22" s="211"/>
      <c r="B22" s="212" t="s">
        <v>16</v>
      </c>
      <c r="C22" s="212" t="s">
        <v>16</v>
      </c>
      <c r="D22" s="213" t="s">
        <v>17</v>
      </c>
      <c r="E22" s="213"/>
      <c r="F22" s="214"/>
      <c r="G22" s="213"/>
      <c r="H22" s="215">
        <f>SUM(H21:H21)</f>
        <v>600</v>
      </c>
      <c r="I22" s="215">
        <f aca="true" t="shared" si="2" ref="I22:X22">SUM(I21:I21)</f>
        <v>600</v>
      </c>
      <c r="J22" s="215">
        <f t="shared" si="2"/>
        <v>600</v>
      </c>
      <c r="K22" s="215">
        <f t="shared" si="2"/>
        <v>0</v>
      </c>
      <c r="L22" s="215">
        <f t="shared" si="2"/>
        <v>0</v>
      </c>
      <c r="M22" s="215">
        <f t="shared" si="2"/>
        <v>0</v>
      </c>
      <c r="N22" s="215">
        <f t="shared" si="2"/>
        <v>600</v>
      </c>
      <c r="O22" s="215">
        <f t="shared" si="2"/>
        <v>0</v>
      </c>
      <c r="P22" s="215">
        <f t="shared" si="2"/>
        <v>0</v>
      </c>
      <c r="Q22" s="215">
        <f t="shared" si="2"/>
        <v>0</v>
      </c>
      <c r="R22" s="215">
        <f t="shared" si="2"/>
        <v>0</v>
      </c>
      <c r="S22" s="215">
        <f t="shared" si="2"/>
        <v>0</v>
      </c>
      <c r="T22" s="215">
        <f t="shared" si="2"/>
        <v>0</v>
      </c>
      <c r="U22" s="215">
        <f t="shared" si="2"/>
        <v>0</v>
      </c>
      <c r="V22" s="215">
        <f t="shared" si="2"/>
        <v>0</v>
      </c>
      <c r="W22" s="215">
        <f t="shared" si="2"/>
        <v>0</v>
      </c>
      <c r="X22" s="215">
        <f t="shared" si="2"/>
        <v>0</v>
      </c>
    </row>
    <row r="23" spans="1:24" ht="15.75" customHeight="1" hidden="1">
      <c r="A23" s="422" t="s">
        <v>119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4"/>
    </row>
    <row r="24" spans="1:24" ht="24" hidden="1">
      <c r="A24" s="44">
        <v>6</v>
      </c>
      <c r="B24" s="42" t="s">
        <v>15</v>
      </c>
      <c r="C24" s="42"/>
      <c r="D24" s="42"/>
      <c r="E24" s="43" t="s">
        <v>16</v>
      </c>
      <c r="F24" s="44"/>
      <c r="G24" s="44"/>
      <c r="H24" s="45"/>
      <c r="I24" s="45"/>
      <c r="J24" s="45"/>
      <c r="K24" s="10"/>
      <c r="L24" s="10"/>
      <c r="M24" s="10"/>
      <c r="N24" s="45"/>
      <c r="O24" s="45"/>
      <c r="P24" s="10">
        <f>(O24-S24-R24)*95%</f>
        <v>0</v>
      </c>
      <c r="Q24" s="10">
        <f>(O24-S24-R24)*5%</f>
        <v>0</v>
      </c>
      <c r="R24" s="10">
        <f>(O24-S24)*1%</f>
        <v>0</v>
      </c>
      <c r="S24" s="45"/>
      <c r="T24" s="45"/>
      <c r="U24" s="45"/>
      <c r="V24" s="45"/>
      <c r="W24" s="45"/>
      <c r="X24" s="45"/>
    </row>
    <row r="25" spans="1:24" ht="27.75" customHeight="1" hidden="1">
      <c r="A25" s="211"/>
      <c r="B25" s="212" t="s">
        <v>16</v>
      </c>
      <c r="C25" s="212" t="s">
        <v>16</v>
      </c>
      <c r="D25" s="213" t="s">
        <v>17</v>
      </c>
      <c r="E25" s="213"/>
      <c r="F25" s="214"/>
      <c r="G25" s="213"/>
      <c r="H25" s="215">
        <f aca="true" t="shared" si="3" ref="H25:X25">SUM(H24:H24)</f>
        <v>0</v>
      </c>
      <c r="I25" s="215">
        <f t="shared" si="3"/>
        <v>0</v>
      </c>
      <c r="J25" s="215">
        <f t="shared" si="3"/>
        <v>0</v>
      </c>
      <c r="K25" s="215">
        <f t="shared" si="3"/>
        <v>0</v>
      </c>
      <c r="L25" s="215">
        <f t="shared" si="3"/>
        <v>0</v>
      </c>
      <c r="M25" s="215">
        <f t="shared" si="3"/>
        <v>0</v>
      </c>
      <c r="N25" s="215">
        <f t="shared" si="3"/>
        <v>0</v>
      </c>
      <c r="O25" s="215">
        <f t="shared" si="3"/>
        <v>0</v>
      </c>
      <c r="P25" s="215">
        <f t="shared" si="3"/>
        <v>0</v>
      </c>
      <c r="Q25" s="215">
        <f t="shared" si="3"/>
        <v>0</v>
      </c>
      <c r="R25" s="215">
        <f t="shared" si="3"/>
        <v>0</v>
      </c>
      <c r="S25" s="215">
        <f t="shared" si="3"/>
        <v>0</v>
      </c>
      <c r="T25" s="215">
        <f t="shared" si="3"/>
        <v>0</v>
      </c>
      <c r="U25" s="215">
        <f t="shared" si="3"/>
        <v>0</v>
      </c>
      <c r="V25" s="215">
        <f t="shared" si="3"/>
        <v>0</v>
      </c>
      <c r="W25" s="215">
        <f t="shared" si="3"/>
        <v>0</v>
      </c>
      <c r="X25" s="215">
        <f t="shared" si="3"/>
        <v>0</v>
      </c>
    </row>
    <row r="26" spans="1:24" ht="31.5" customHeight="1">
      <c r="A26" s="211"/>
      <c r="B26" s="212" t="s">
        <v>16</v>
      </c>
      <c r="C26" s="212" t="s">
        <v>16</v>
      </c>
      <c r="D26" s="213" t="s">
        <v>18</v>
      </c>
      <c r="E26" s="214" t="s">
        <v>16</v>
      </c>
      <c r="F26" s="214" t="s">
        <v>16</v>
      </c>
      <c r="G26" s="214" t="s">
        <v>16</v>
      </c>
      <c r="H26" s="215">
        <f>H19+H22+H25</f>
        <v>3559.764</v>
      </c>
      <c r="I26" s="215">
        <f aca="true" t="shared" si="4" ref="I26:X26">I19+I22+I25</f>
        <v>3559.764</v>
      </c>
      <c r="J26" s="215">
        <f t="shared" si="4"/>
        <v>3559.764</v>
      </c>
      <c r="K26" s="215">
        <f t="shared" si="4"/>
        <v>2783.658042</v>
      </c>
      <c r="L26" s="215">
        <f t="shared" si="4"/>
        <v>146.508318</v>
      </c>
      <c r="M26" s="215">
        <f t="shared" si="4"/>
        <v>29.59764</v>
      </c>
      <c r="N26" s="215">
        <f t="shared" si="4"/>
        <v>600</v>
      </c>
      <c r="O26" s="215">
        <f t="shared" si="4"/>
        <v>0</v>
      </c>
      <c r="P26" s="215">
        <f t="shared" si="4"/>
        <v>0</v>
      </c>
      <c r="Q26" s="215">
        <f t="shared" si="4"/>
        <v>0</v>
      </c>
      <c r="R26" s="215">
        <f t="shared" si="4"/>
        <v>0</v>
      </c>
      <c r="S26" s="215">
        <f t="shared" si="4"/>
        <v>0</v>
      </c>
      <c r="T26" s="215">
        <f t="shared" si="4"/>
        <v>0</v>
      </c>
      <c r="U26" s="215">
        <f t="shared" si="4"/>
        <v>0</v>
      </c>
      <c r="V26" s="215">
        <f t="shared" si="4"/>
        <v>0</v>
      </c>
      <c r="W26" s="215">
        <f t="shared" si="4"/>
        <v>0</v>
      </c>
      <c r="X26" s="215">
        <f t="shared" si="4"/>
        <v>0</v>
      </c>
    </row>
    <row r="27" spans="1:24" ht="15.75" customHeight="1" hidden="1">
      <c r="A27" s="233"/>
      <c r="B27" s="233"/>
      <c r="C27" s="233"/>
      <c r="D27" s="233"/>
      <c r="E27" s="233"/>
      <c r="F27" s="234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5"/>
      <c r="T27" s="235"/>
      <c r="U27" s="235"/>
      <c r="V27" s="235"/>
      <c r="W27" s="235"/>
      <c r="X27" s="235"/>
    </row>
    <row r="28" spans="1:18" ht="15.75" customHeight="1" hidden="1">
      <c r="A28" s="467" t="s">
        <v>43</v>
      </c>
      <c r="B28" s="456"/>
      <c r="C28" s="456"/>
      <c r="D28" s="230"/>
      <c r="E28" s="230"/>
      <c r="F28" s="229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</row>
    <row r="29" spans="1:24" ht="14.25" hidden="1">
      <c r="A29" s="468" t="s">
        <v>42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</row>
    <row r="30" spans="1:23" ht="14.25" hidden="1">
      <c r="A30" s="455" t="s">
        <v>41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</row>
    <row r="31" spans="1:23" ht="14.25" hidden="1">
      <c r="A31" s="455" t="s">
        <v>40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</row>
    <row r="32" spans="1:23" ht="14.25" hidden="1">
      <c r="A32" s="455" t="s">
        <v>39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</row>
    <row r="33" spans="1:23" ht="14.25" hidden="1">
      <c r="A33" s="455" t="s">
        <v>38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</row>
    <row r="34" spans="1:23" ht="14.25" hidden="1">
      <c r="A34" s="455" t="s">
        <v>37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</row>
    <row r="35" spans="1:23" ht="14.25" hidden="1">
      <c r="A35" s="455" t="s">
        <v>36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</row>
    <row r="36" spans="1:23" ht="24.75" customHeight="1" hidden="1">
      <c r="A36" s="455" t="s">
        <v>35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</row>
    <row r="37" spans="1:23" ht="25.5" customHeight="1" hidden="1">
      <c r="A37" s="455" t="s">
        <v>34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</row>
    <row r="38" spans="1:23" ht="14.25" hidden="1">
      <c r="A38" s="455" t="s">
        <v>33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</row>
    <row r="39" spans="1:23" ht="14.25" hidden="1">
      <c r="A39" s="455" t="s">
        <v>32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</row>
    <row r="40" spans="1:23" ht="14.25" hidden="1">
      <c r="A40" s="455" t="s">
        <v>31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</row>
    <row r="41" spans="1:23" ht="14.25" hidden="1">
      <c r="A41" s="455" t="s">
        <v>30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</row>
    <row r="42" spans="1:18" ht="15.75" customHeight="1" hidden="1">
      <c r="A42" s="236"/>
      <c r="B42" s="236"/>
      <c r="C42" s="236"/>
      <c r="D42" s="236"/>
      <c r="E42" s="236"/>
      <c r="F42" s="237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</row>
    <row r="43" spans="1:18" ht="15.75" customHeight="1">
      <c r="A43" s="238"/>
      <c r="B43" s="238"/>
      <c r="C43" s="238"/>
      <c r="D43" s="238"/>
      <c r="E43" s="238"/>
      <c r="F43" s="237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</row>
    <row r="44" ht="15.75" customHeight="1"/>
    <row r="45" spans="1:24" s="127" customFormat="1" ht="85.5" customHeight="1">
      <c r="A45" s="344" t="s">
        <v>29</v>
      </c>
      <c r="B45" s="345"/>
      <c r="C45" s="345"/>
      <c r="D45" s="345"/>
      <c r="E45" s="345"/>
      <c r="F45" s="345"/>
      <c r="G45" s="154"/>
      <c r="H45" s="24"/>
      <c r="I45" s="24"/>
      <c r="J45" s="24"/>
      <c r="K45" s="24"/>
      <c r="L45" s="24"/>
      <c r="M45" s="24"/>
      <c r="N45" s="346" t="s">
        <v>28</v>
      </c>
      <c r="O45" s="347"/>
      <c r="P45" s="347"/>
      <c r="Q45" s="126"/>
      <c r="R45" s="346"/>
      <c r="S45" s="347"/>
      <c r="T45" s="347"/>
      <c r="U45" s="24"/>
      <c r="V45" s="24"/>
      <c r="W45" s="24"/>
      <c r="X45" s="24"/>
    </row>
    <row r="46" spans="1:24" s="26" customFormat="1" ht="69.75" customHeight="1">
      <c r="A46" s="128"/>
      <c r="B46" s="128"/>
      <c r="C46" s="128"/>
      <c r="D46" s="128"/>
      <c r="E46" s="128"/>
      <c r="F46" s="240"/>
      <c r="G46" s="130"/>
      <c r="H46" s="25"/>
      <c r="I46" s="25"/>
      <c r="J46" s="25"/>
      <c r="K46" s="25"/>
      <c r="L46" s="25"/>
      <c r="M46" s="25"/>
      <c r="N46" s="340"/>
      <c r="O46" s="341"/>
      <c r="P46" s="341"/>
      <c r="Q46" s="131"/>
      <c r="R46" s="340"/>
      <c r="S46" s="341"/>
      <c r="T46" s="341"/>
      <c r="U46" s="25"/>
      <c r="V46" s="25"/>
      <c r="W46" s="25"/>
      <c r="X46" s="25"/>
    </row>
    <row r="47" spans="1:24" s="26" customFormat="1" ht="20.25" customHeight="1">
      <c r="A47" s="132" t="s">
        <v>19</v>
      </c>
      <c r="B47" s="133"/>
      <c r="C47" s="132"/>
      <c r="D47" s="132"/>
      <c r="E47" s="128"/>
      <c r="F47" s="240"/>
      <c r="G47" s="130"/>
      <c r="H47" s="25"/>
      <c r="I47" s="25"/>
      <c r="J47" s="25"/>
      <c r="K47" s="25"/>
      <c r="L47" s="25"/>
      <c r="M47" s="25"/>
      <c r="N47" s="131"/>
      <c r="O47" s="131"/>
      <c r="P47" s="131"/>
      <c r="Q47" s="131"/>
      <c r="R47" s="131"/>
      <c r="S47" s="25"/>
      <c r="T47" s="25"/>
      <c r="U47" s="25"/>
      <c r="V47" s="25"/>
      <c r="W47" s="25"/>
      <c r="X47" s="25"/>
    </row>
    <row r="48" spans="1:24" s="26" customFormat="1" ht="20.25" customHeight="1">
      <c r="A48" s="132" t="s">
        <v>27</v>
      </c>
      <c r="B48" s="132"/>
      <c r="C48" s="132"/>
      <c r="D48" s="132"/>
      <c r="E48" s="128"/>
      <c r="F48" s="240"/>
      <c r="G48" s="130"/>
      <c r="H48" s="25"/>
      <c r="I48" s="25"/>
      <c r="J48" s="25"/>
      <c r="K48" s="25"/>
      <c r="L48" s="25"/>
      <c r="M48" s="25"/>
      <c r="N48" s="131"/>
      <c r="O48" s="131"/>
      <c r="P48" s="131"/>
      <c r="Q48" s="131"/>
      <c r="R48" s="131"/>
      <c r="S48" s="25"/>
      <c r="T48" s="25"/>
      <c r="U48" s="25"/>
      <c r="V48" s="25"/>
      <c r="W48" s="25"/>
      <c r="X48" s="2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sheetProtection/>
  <mergeCells count="50">
    <mergeCell ref="H8:N8"/>
    <mergeCell ref="J11:N11"/>
    <mergeCell ref="A28:C28"/>
    <mergeCell ref="A20:X20"/>
    <mergeCell ref="A35:W35"/>
    <mergeCell ref="P13:S13"/>
    <mergeCell ref="J12:N12"/>
    <mergeCell ref="O12:S12"/>
    <mergeCell ref="K13:N13"/>
    <mergeCell ref="A29:X29"/>
    <mergeCell ref="A45:F45"/>
    <mergeCell ref="R46:T46"/>
    <mergeCell ref="R45:T45"/>
    <mergeCell ref="A41:W41"/>
    <mergeCell ref="N45:P45"/>
    <mergeCell ref="A31:W31"/>
    <mergeCell ref="A34:W34"/>
    <mergeCell ref="A39:W39"/>
    <mergeCell ref="A38:W38"/>
    <mergeCell ref="N46:P46"/>
    <mergeCell ref="A40:W40"/>
    <mergeCell ref="A1:X1"/>
    <mergeCell ref="E3:R3"/>
    <mergeCell ref="E4:R4"/>
    <mergeCell ref="A37:W37"/>
    <mergeCell ref="B11:B14"/>
    <mergeCell ref="E11:E14"/>
    <mergeCell ref="H11:H14"/>
    <mergeCell ref="I11:I14"/>
    <mergeCell ref="H6:N6"/>
    <mergeCell ref="H7:N7"/>
    <mergeCell ref="C11:C14"/>
    <mergeCell ref="T12:X12"/>
    <mergeCell ref="A30:W30"/>
    <mergeCell ref="A32:W32"/>
    <mergeCell ref="O13:O14"/>
    <mergeCell ref="F11:F14"/>
    <mergeCell ref="G11:G14"/>
    <mergeCell ref="T13:T14"/>
    <mergeCell ref="D11:D14"/>
    <mergeCell ref="A16:X16"/>
    <mergeCell ref="U13:X13"/>
    <mergeCell ref="J13:J14"/>
    <mergeCell ref="A36:W36"/>
    <mergeCell ref="A33:W33"/>
    <mergeCell ref="O11:S11"/>
    <mergeCell ref="T11:X11"/>
    <mergeCell ref="A11:A14"/>
    <mergeCell ref="A23:X23"/>
    <mergeCell ref="E17:E18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view="pageBreakPreview" zoomScaleSheetLayoutView="100" zoomScalePageLayoutView="0" workbookViewId="0" topLeftCell="A13">
      <selection activeCell="H20" sqref="H20:M20"/>
    </sheetView>
  </sheetViews>
  <sheetFormatPr defaultColWidth="14.421875" defaultRowHeight="15" customHeight="1"/>
  <cols>
    <col min="1" max="1" width="5.8515625" style="46" customWidth="1"/>
    <col min="2" max="2" width="19.57421875" style="46" customWidth="1"/>
    <col min="3" max="3" width="13.8515625" style="46" customWidth="1"/>
    <col min="4" max="4" width="22.140625" style="46" customWidth="1"/>
    <col min="5" max="5" width="15.00390625" style="46" customWidth="1"/>
    <col min="6" max="6" width="18.57421875" style="239" customWidth="1"/>
    <col min="7" max="7" width="12.140625" style="46" customWidth="1"/>
    <col min="8" max="8" width="11.8515625" style="46" customWidth="1"/>
    <col min="9" max="9" width="13.57421875" style="46" customWidth="1"/>
    <col min="10" max="13" width="8.57421875" style="46" customWidth="1"/>
    <col min="14" max="14" width="10.57421875" style="46" customWidth="1"/>
    <col min="15" max="24" width="8.57421875" style="46" customWidth="1"/>
    <col min="25" max="16384" width="14.421875" style="46" customWidth="1"/>
  </cols>
  <sheetData>
    <row r="1" spans="1:24" ht="17.25">
      <c r="A1" s="463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</row>
    <row r="2" spans="1:18" ht="17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24" ht="17.25">
      <c r="A3" s="469" t="s">
        <v>97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</row>
    <row r="4" spans="1:24" ht="18.75" customHeight="1">
      <c r="A4" s="470" t="s">
        <v>1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</row>
    <row r="5" spans="1:18" ht="8.25" customHeight="1">
      <c r="A5" s="227"/>
      <c r="B5" s="227"/>
      <c r="C5" s="227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7"/>
      <c r="O5" s="227"/>
      <c r="P5" s="227"/>
      <c r="Q5" s="227"/>
      <c r="R5" s="227"/>
    </row>
    <row r="6" spans="1:24" ht="17.25">
      <c r="A6" s="469" t="s">
        <v>62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</row>
    <row r="7" spans="1:24" ht="14.25">
      <c r="A7" s="470" t="s">
        <v>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</row>
    <row r="8" spans="1:24" ht="17.25">
      <c r="A8" s="463" t="s">
        <v>96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</row>
    <row r="9" spans="1:18" ht="14.25">
      <c r="A9" s="230"/>
      <c r="B9" s="230"/>
      <c r="C9" s="230"/>
      <c r="D9" s="230"/>
      <c r="E9" s="230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24" ht="37.5" customHeight="1">
      <c r="A10" s="453" t="s">
        <v>132</v>
      </c>
      <c r="B10" s="453" t="s">
        <v>133</v>
      </c>
      <c r="C10" s="453" t="s">
        <v>3</v>
      </c>
      <c r="D10" s="453" t="s">
        <v>134</v>
      </c>
      <c r="E10" s="453" t="s">
        <v>4</v>
      </c>
      <c r="F10" s="453" t="s">
        <v>135</v>
      </c>
      <c r="G10" s="453" t="s">
        <v>136</v>
      </c>
      <c r="H10" s="453" t="s">
        <v>137</v>
      </c>
      <c r="I10" s="453" t="s">
        <v>20</v>
      </c>
      <c r="J10" s="450" t="s">
        <v>5</v>
      </c>
      <c r="K10" s="471"/>
      <c r="L10" s="471"/>
      <c r="M10" s="471"/>
      <c r="N10" s="472"/>
      <c r="O10" s="450" t="s">
        <v>5</v>
      </c>
      <c r="P10" s="471"/>
      <c r="Q10" s="471"/>
      <c r="R10" s="471"/>
      <c r="S10" s="472"/>
      <c r="T10" s="450" t="s">
        <v>5</v>
      </c>
      <c r="U10" s="471"/>
      <c r="V10" s="471"/>
      <c r="W10" s="471"/>
      <c r="X10" s="472"/>
    </row>
    <row r="11" spans="1:24" ht="14.25">
      <c r="A11" s="474"/>
      <c r="B11" s="474"/>
      <c r="C11" s="474"/>
      <c r="D11" s="474"/>
      <c r="E11" s="474"/>
      <c r="F11" s="478"/>
      <c r="G11" s="474"/>
      <c r="H11" s="474"/>
      <c r="I11" s="474"/>
      <c r="J11" s="450" t="s">
        <v>6</v>
      </c>
      <c r="K11" s="471"/>
      <c r="L11" s="471"/>
      <c r="M11" s="471"/>
      <c r="N11" s="472"/>
      <c r="O11" s="450" t="s">
        <v>7</v>
      </c>
      <c r="P11" s="471"/>
      <c r="Q11" s="471"/>
      <c r="R11" s="471"/>
      <c r="S11" s="472"/>
      <c r="T11" s="450" t="s">
        <v>51</v>
      </c>
      <c r="U11" s="471"/>
      <c r="V11" s="471"/>
      <c r="W11" s="471"/>
      <c r="X11" s="472"/>
    </row>
    <row r="12" spans="1:24" ht="14.25">
      <c r="A12" s="474"/>
      <c r="B12" s="474"/>
      <c r="C12" s="474"/>
      <c r="D12" s="474"/>
      <c r="E12" s="474"/>
      <c r="F12" s="478"/>
      <c r="G12" s="474"/>
      <c r="H12" s="474"/>
      <c r="I12" s="474"/>
      <c r="J12" s="453" t="s">
        <v>8</v>
      </c>
      <c r="K12" s="450" t="s">
        <v>9</v>
      </c>
      <c r="L12" s="471"/>
      <c r="M12" s="471"/>
      <c r="N12" s="472"/>
      <c r="O12" s="453" t="s">
        <v>8</v>
      </c>
      <c r="P12" s="450" t="s">
        <v>9</v>
      </c>
      <c r="Q12" s="471"/>
      <c r="R12" s="471"/>
      <c r="S12" s="472"/>
      <c r="T12" s="453" t="s">
        <v>8</v>
      </c>
      <c r="U12" s="450" t="s">
        <v>10</v>
      </c>
      <c r="V12" s="471"/>
      <c r="W12" s="471"/>
      <c r="X12" s="472"/>
    </row>
    <row r="13" spans="1:24" ht="39" customHeight="1">
      <c r="A13" s="473"/>
      <c r="B13" s="473"/>
      <c r="C13" s="473"/>
      <c r="D13" s="473"/>
      <c r="E13" s="473"/>
      <c r="F13" s="479"/>
      <c r="G13" s="473"/>
      <c r="H13" s="473"/>
      <c r="I13" s="473"/>
      <c r="J13" s="473"/>
      <c r="K13" s="212" t="s">
        <v>138</v>
      </c>
      <c r="L13" s="212" t="s">
        <v>139</v>
      </c>
      <c r="M13" s="212" t="s">
        <v>140</v>
      </c>
      <c r="N13" s="212" t="s">
        <v>141</v>
      </c>
      <c r="O13" s="473"/>
      <c r="P13" s="212" t="s">
        <v>11</v>
      </c>
      <c r="Q13" s="212" t="s">
        <v>12</v>
      </c>
      <c r="R13" s="212" t="s">
        <v>13</v>
      </c>
      <c r="S13" s="212" t="s">
        <v>14</v>
      </c>
      <c r="T13" s="473"/>
      <c r="U13" s="212" t="s">
        <v>11</v>
      </c>
      <c r="V13" s="212" t="s">
        <v>12</v>
      </c>
      <c r="W13" s="212" t="s">
        <v>13</v>
      </c>
      <c r="X13" s="212" t="s">
        <v>14</v>
      </c>
    </row>
    <row r="14" spans="1:24" ht="15">
      <c r="A14" s="241">
        <v>1</v>
      </c>
      <c r="B14" s="241">
        <v>2</v>
      </c>
      <c r="C14" s="241">
        <v>3</v>
      </c>
      <c r="D14" s="241">
        <v>4</v>
      </c>
      <c r="E14" s="241">
        <v>5</v>
      </c>
      <c r="F14" s="241">
        <v>6</v>
      </c>
      <c r="G14" s="241">
        <v>7</v>
      </c>
      <c r="H14" s="241">
        <v>8</v>
      </c>
      <c r="I14" s="241">
        <v>9</v>
      </c>
      <c r="J14" s="241">
        <v>10</v>
      </c>
      <c r="K14" s="241">
        <v>11</v>
      </c>
      <c r="L14" s="241">
        <v>12</v>
      </c>
      <c r="M14" s="241">
        <v>13</v>
      </c>
      <c r="N14" s="241">
        <v>14</v>
      </c>
      <c r="O14" s="241">
        <v>15</v>
      </c>
      <c r="P14" s="241">
        <v>16</v>
      </c>
      <c r="Q14" s="241">
        <v>17</v>
      </c>
      <c r="R14" s="241">
        <v>18</v>
      </c>
      <c r="S14" s="241">
        <v>19</v>
      </c>
      <c r="T14" s="241">
        <v>20</v>
      </c>
      <c r="U14" s="241">
        <v>21</v>
      </c>
      <c r="V14" s="241">
        <v>22</v>
      </c>
      <c r="W14" s="241">
        <v>23</v>
      </c>
      <c r="X14" s="241">
        <v>24</v>
      </c>
    </row>
    <row r="15" spans="1:24" ht="15">
      <c r="A15" s="475" t="s">
        <v>63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7"/>
    </row>
    <row r="16" spans="1:24" ht="67.5" customHeight="1">
      <c r="A16" s="150">
        <v>1</v>
      </c>
      <c r="B16" s="242" t="s">
        <v>167</v>
      </c>
      <c r="C16" s="242" t="s">
        <v>174</v>
      </c>
      <c r="D16" s="242" t="s">
        <v>191</v>
      </c>
      <c r="E16" s="480" t="s">
        <v>85</v>
      </c>
      <c r="F16" s="288" t="s">
        <v>280</v>
      </c>
      <c r="G16" s="150">
        <v>2020</v>
      </c>
      <c r="H16" s="243">
        <v>1298.667</v>
      </c>
      <c r="I16" s="243">
        <v>1298.667</v>
      </c>
      <c r="J16" s="243">
        <v>1298.667</v>
      </c>
      <c r="K16" s="10">
        <f>(J16-N16-M16)*95%</f>
        <v>1221.3963135</v>
      </c>
      <c r="L16" s="10">
        <f>(J16-N16-M16)*5%</f>
        <v>64.28401649999999</v>
      </c>
      <c r="M16" s="10">
        <f>(J16-N16-(H16-I16))*1%+(H16-I16)</f>
        <v>12.98667</v>
      </c>
      <c r="N16" s="244"/>
      <c r="O16" s="243"/>
      <c r="P16" s="10"/>
      <c r="Q16" s="10"/>
      <c r="R16" s="10"/>
      <c r="S16" s="243"/>
      <c r="T16" s="243"/>
      <c r="U16" s="10"/>
      <c r="V16" s="10"/>
      <c r="W16" s="10"/>
      <c r="X16" s="243"/>
    </row>
    <row r="17" spans="1:24" ht="91.5" customHeight="1">
      <c r="A17" s="150">
        <v>2</v>
      </c>
      <c r="B17" s="242" t="s">
        <v>167</v>
      </c>
      <c r="C17" s="242" t="s">
        <v>174</v>
      </c>
      <c r="D17" s="242" t="s">
        <v>217</v>
      </c>
      <c r="E17" s="481"/>
      <c r="F17" s="288" t="s">
        <v>280</v>
      </c>
      <c r="G17" s="150">
        <v>2020</v>
      </c>
      <c r="H17" s="243">
        <v>3062.4</v>
      </c>
      <c r="I17" s="243">
        <v>3062.4</v>
      </c>
      <c r="J17" s="243">
        <v>3062.4</v>
      </c>
      <c r="K17" s="10">
        <f>(J17-N17-M17)*95%</f>
        <v>0</v>
      </c>
      <c r="L17" s="10">
        <f>(J17-N17-M17)*5%</f>
        <v>0</v>
      </c>
      <c r="M17" s="10">
        <f>(J17-N17-(H17-I17))*1%+(H17-I17)</f>
        <v>0</v>
      </c>
      <c r="N17" s="244">
        <v>3062.4</v>
      </c>
      <c r="O17" s="243"/>
      <c r="P17" s="10"/>
      <c r="Q17" s="10"/>
      <c r="R17" s="10"/>
      <c r="S17" s="243"/>
      <c r="T17" s="243"/>
      <c r="U17" s="10"/>
      <c r="V17" s="10"/>
      <c r="W17" s="10"/>
      <c r="X17" s="243"/>
    </row>
    <row r="18" spans="1:24" ht="31.5" customHeight="1">
      <c r="A18" s="245"/>
      <c r="B18" s="246" t="s">
        <v>16</v>
      </c>
      <c r="C18" s="246" t="s">
        <v>16</v>
      </c>
      <c r="D18" s="247" t="s">
        <v>17</v>
      </c>
      <c r="E18" s="248" t="s">
        <v>16</v>
      </c>
      <c r="F18" s="248" t="s">
        <v>16</v>
      </c>
      <c r="G18" s="248" t="s">
        <v>16</v>
      </c>
      <c r="H18" s="249">
        <f>SUM(H16:H17)</f>
        <v>4361.067</v>
      </c>
      <c r="I18" s="249">
        <f aca="true" t="shared" si="0" ref="I18:X18">SUM(I16:I17)</f>
        <v>4361.067</v>
      </c>
      <c r="J18" s="249">
        <f t="shared" si="0"/>
        <v>4361.067</v>
      </c>
      <c r="K18" s="249">
        <f t="shared" si="0"/>
        <v>1221.3963135</v>
      </c>
      <c r="L18" s="249">
        <f t="shared" si="0"/>
        <v>64.28401649999999</v>
      </c>
      <c r="M18" s="249">
        <f t="shared" si="0"/>
        <v>12.98667</v>
      </c>
      <c r="N18" s="249">
        <f t="shared" si="0"/>
        <v>3062.4</v>
      </c>
      <c r="O18" s="249">
        <f t="shared" si="0"/>
        <v>0</v>
      </c>
      <c r="P18" s="249">
        <f t="shared" si="0"/>
        <v>0</v>
      </c>
      <c r="Q18" s="249">
        <f t="shared" si="0"/>
        <v>0</v>
      </c>
      <c r="R18" s="249">
        <f t="shared" si="0"/>
        <v>0</v>
      </c>
      <c r="S18" s="249">
        <f t="shared" si="0"/>
        <v>0</v>
      </c>
      <c r="T18" s="249">
        <f t="shared" si="0"/>
        <v>0</v>
      </c>
      <c r="U18" s="249">
        <f t="shared" si="0"/>
        <v>0</v>
      </c>
      <c r="V18" s="249">
        <f t="shared" si="0"/>
        <v>0</v>
      </c>
      <c r="W18" s="249">
        <f t="shared" si="0"/>
        <v>0</v>
      </c>
      <c r="X18" s="249">
        <f t="shared" si="0"/>
        <v>0</v>
      </c>
    </row>
    <row r="19" spans="1:24" ht="15.75" customHeight="1">
      <c r="A19" s="422" t="s">
        <v>65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3"/>
    </row>
    <row r="20" spans="1:24" ht="42.75" customHeight="1">
      <c r="A20" s="150">
        <v>3</v>
      </c>
      <c r="B20" s="242" t="s">
        <v>167</v>
      </c>
      <c r="C20" s="242" t="s">
        <v>174</v>
      </c>
      <c r="D20" s="242" t="s">
        <v>175</v>
      </c>
      <c r="E20" s="248"/>
      <c r="F20" s="150" t="s">
        <v>44</v>
      </c>
      <c r="G20" s="150">
        <v>2020</v>
      </c>
      <c r="H20" s="305">
        <v>250</v>
      </c>
      <c r="I20" s="305">
        <v>250</v>
      </c>
      <c r="J20" s="305">
        <v>250</v>
      </c>
      <c r="K20" s="10">
        <f>(J20-N20-M20)*95%</f>
        <v>235.125</v>
      </c>
      <c r="L20" s="10">
        <f>(J20-N20-M20)*5%</f>
        <v>12.375</v>
      </c>
      <c r="M20" s="10">
        <f>(J20-N20-(H20-I20))*1%+(H20-I20)</f>
        <v>2.5</v>
      </c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1:24" ht="39">
      <c r="A21" s="150">
        <v>4</v>
      </c>
      <c r="B21" s="242" t="s">
        <v>167</v>
      </c>
      <c r="C21" s="242" t="s">
        <v>174</v>
      </c>
      <c r="D21" s="242" t="s">
        <v>171</v>
      </c>
      <c r="E21" s="248"/>
      <c r="F21" s="150" t="s">
        <v>44</v>
      </c>
      <c r="G21" s="150">
        <v>2020</v>
      </c>
      <c r="H21" s="320">
        <v>1500</v>
      </c>
      <c r="I21" s="320">
        <v>1500</v>
      </c>
      <c r="J21" s="320">
        <v>1500</v>
      </c>
      <c r="K21" s="10">
        <f>(J21-N21-M21)*95%</f>
        <v>1410.75</v>
      </c>
      <c r="L21" s="10">
        <f>(J21-N21-M21)*5%</f>
        <v>74.25</v>
      </c>
      <c r="M21" s="10">
        <f>(J21-N21-(H21-I21))*1%+(H21-I21)</f>
        <v>15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</row>
    <row r="22" spans="1:24" ht="33.75" customHeight="1">
      <c r="A22" s="245"/>
      <c r="B22" s="246" t="s">
        <v>16</v>
      </c>
      <c r="C22" s="246" t="s">
        <v>16</v>
      </c>
      <c r="D22" s="247" t="s">
        <v>17</v>
      </c>
      <c r="E22" s="247"/>
      <c r="F22" s="248"/>
      <c r="G22" s="247"/>
      <c r="H22" s="249">
        <f aca="true" t="shared" si="1" ref="H22:X22">SUM(H20:H21)</f>
        <v>1750</v>
      </c>
      <c r="I22" s="249">
        <f t="shared" si="1"/>
        <v>1750</v>
      </c>
      <c r="J22" s="249">
        <f t="shared" si="1"/>
        <v>1750</v>
      </c>
      <c r="K22" s="249">
        <f t="shared" si="1"/>
        <v>1645.875</v>
      </c>
      <c r="L22" s="249">
        <f t="shared" si="1"/>
        <v>86.625</v>
      </c>
      <c r="M22" s="249">
        <f t="shared" si="1"/>
        <v>17.5</v>
      </c>
      <c r="N22" s="249">
        <f t="shared" si="1"/>
        <v>0</v>
      </c>
      <c r="O22" s="249">
        <f t="shared" si="1"/>
        <v>0</v>
      </c>
      <c r="P22" s="249">
        <f t="shared" si="1"/>
        <v>0</v>
      </c>
      <c r="Q22" s="249">
        <f t="shared" si="1"/>
        <v>0</v>
      </c>
      <c r="R22" s="249">
        <f t="shared" si="1"/>
        <v>0</v>
      </c>
      <c r="S22" s="249">
        <f t="shared" si="1"/>
        <v>0</v>
      </c>
      <c r="T22" s="249">
        <f t="shared" si="1"/>
        <v>0</v>
      </c>
      <c r="U22" s="249">
        <f t="shared" si="1"/>
        <v>0</v>
      </c>
      <c r="V22" s="249">
        <f t="shared" si="1"/>
        <v>0</v>
      </c>
      <c r="W22" s="249">
        <f t="shared" si="1"/>
        <v>0</v>
      </c>
      <c r="X22" s="249">
        <f t="shared" si="1"/>
        <v>0</v>
      </c>
    </row>
    <row r="23" spans="1:24" ht="31.5" customHeight="1">
      <c r="A23" s="245"/>
      <c r="B23" s="246" t="s">
        <v>16</v>
      </c>
      <c r="C23" s="246" t="s">
        <v>16</v>
      </c>
      <c r="D23" s="247" t="s">
        <v>18</v>
      </c>
      <c r="E23" s="248" t="s">
        <v>16</v>
      </c>
      <c r="F23" s="248" t="s">
        <v>16</v>
      </c>
      <c r="G23" s="248" t="s">
        <v>16</v>
      </c>
      <c r="H23" s="249">
        <f aca="true" t="shared" si="2" ref="H23:M23">H18+H22</f>
        <v>6111.067</v>
      </c>
      <c r="I23" s="249">
        <f t="shared" si="2"/>
        <v>6111.067</v>
      </c>
      <c r="J23" s="249">
        <f t="shared" si="2"/>
        <v>6111.067</v>
      </c>
      <c r="K23" s="249">
        <f t="shared" si="2"/>
        <v>2867.2713135</v>
      </c>
      <c r="L23" s="249">
        <f t="shared" si="2"/>
        <v>150.9090165</v>
      </c>
      <c r="M23" s="249">
        <f t="shared" si="2"/>
        <v>30.48667</v>
      </c>
      <c r="N23" s="250">
        <f>N18</f>
        <v>3062.4</v>
      </c>
      <c r="O23" s="249">
        <f>O18+O22</f>
        <v>0</v>
      </c>
      <c r="P23" s="249">
        <f>P18+P22</f>
        <v>0</v>
      </c>
      <c r="Q23" s="249">
        <f>Q18+Q22</f>
        <v>0</v>
      </c>
      <c r="R23" s="249">
        <f>R18+R22</f>
        <v>0</v>
      </c>
      <c r="S23" s="249">
        <f>S18</f>
        <v>0</v>
      </c>
      <c r="T23" s="249">
        <f>T18+T22</f>
        <v>0</v>
      </c>
      <c r="U23" s="249">
        <f>+U22+U18</f>
        <v>0</v>
      </c>
      <c r="V23" s="249">
        <f>V18+V22</f>
        <v>0</v>
      </c>
      <c r="W23" s="249">
        <f>W18+W22</f>
        <v>0</v>
      </c>
      <c r="X23" s="250"/>
    </row>
    <row r="24" spans="1:24" s="127" customFormat="1" ht="126" customHeight="1">
      <c r="A24" s="344" t="s">
        <v>29</v>
      </c>
      <c r="B24" s="345"/>
      <c r="C24" s="345"/>
      <c r="D24" s="345"/>
      <c r="E24" s="345"/>
      <c r="F24" s="345"/>
      <c r="G24" s="154"/>
      <c r="H24" s="24"/>
      <c r="I24" s="24"/>
      <c r="J24" s="24"/>
      <c r="K24" s="24"/>
      <c r="L24" s="24"/>
      <c r="M24" s="24"/>
      <c r="N24" s="346" t="s">
        <v>28</v>
      </c>
      <c r="O24" s="347"/>
      <c r="P24" s="347"/>
      <c r="Q24" s="126"/>
      <c r="R24" s="346"/>
      <c r="S24" s="347"/>
      <c r="T24" s="347"/>
      <c r="U24" s="24"/>
      <c r="V24" s="24"/>
      <c r="W24" s="24"/>
      <c r="X24" s="24"/>
    </row>
    <row r="25" spans="1:24" s="26" customFormat="1" ht="1.5" customHeight="1">
      <c r="A25" s="128"/>
      <c r="B25" s="128"/>
      <c r="C25" s="128"/>
      <c r="D25" s="128"/>
      <c r="E25" s="128"/>
      <c r="F25" s="240"/>
      <c r="G25" s="130"/>
      <c r="H25" s="25"/>
      <c r="I25" s="25"/>
      <c r="J25" s="25"/>
      <c r="K25" s="25"/>
      <c r="L25" s="25"/>
      <c r="M25" s="25"/>
      <c r="N25" s="340"/>
      <c r="O25" s="341"/>
      <c r="P25" s="341"/>
      <c r="Q25" s="131"/>
      <c r="R25" s="340"/>
      <c r="S25" s="341"/>
      <c r="T25" s="341"/>
      <c r="U25" s="25"/>
      <c r="V25" s="25"/>
      <c r="W25" s="25"/>
      <c r="X25" s="25"/>
    </row>
    <row r="26" spans="1:24" s="26" customFormat="1" ht="93.75" customHeight="1">
      <c r="A26" s="132" t="s">
        <v>19</v>
      </c>
      <c r="B26" s="133"/>
      <c r="C26" s="132"/>
      <c r="D26" s="132"/>
      <c r="E26" s="128"/>
      <c r="F26" s="240"/>
      <c r="G26" s="130"/>
      <c r="H26" s="25"/>
      <c r="I26" s="25"/>
      <c r="J26" s="25"/>
      <c r="K26" s="25"/>
      <c r="L26" s="25"/>
      <c r="M26" s="25"/>
      <c r="N26" s="131"/>
      <c r="O26" s="131"/>
      <c r="P26" s="131"/>
      <c r="Q26" s="131"/>
      <c r="R26" s="131"/>
      <c r="S26" s="25"/>
      <c r="T26" s="25"/>
      <c r="U26" s="25"/>
      <c r="V26" s="25"/>
      <c r="W26" s="25"/>
      <c r="X26" s="25"/>
    </row>
    <row r="27" spans="1:24" s="26" customFormat="1" ht="20.25" customHeight="1">
      <c r="A27" s="132" t="s">
        <v>27</v>
      </c>
      <c r="B27" s="132"/>
      <c r="C27" s="132"/>
      <c r="D27" s="132"/>
      <c r="E27" s="128"/>
      <c r="F27" s="240"/>
      <c r="G27" s="130"/>
      <c r="H27" s="25"/>
      <c r="I27" s="25"/>
      <c r="J27" s="25"/>
      <c r="K27" s="25"/>
      <c r="L27" s="25"/>
      <c r="M27" s="25"/>
      <c r="N27" s="131"/>
      <c r="O27" s="131"/>
      <c r="P27" s="131"/>
      <c r="Q27" s="131"/>
      <c r="R27" s="131"/>
      <c r="S27" s="25"/>
      <c r="T27" s="25"/>
      <c r="U27" s="25"/>
      <c r="V27" s="25"/>
      <c r="W27" s="25"/>
      <c r="X27" s="2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sheetProtection/>
  <mergeCells count="35">
    <mergeCell ref="R25:T25"/>
    <mergeCell ref="R24:T24"/>
    <mergeCell ref="N24:P24"/>
    <mergeCell ref="N25:P25"/>
    <mergeCell ref="G10:G13"/>
    <mergeCell ref="T12:T13"/>
    <mergeCell ref="J10:N10"/>
    <mergeCell ref="A19:X19"/>
    <mergeCell ref="P12:S12"/>
    <mergeCell ref="J11:N11"/>
    <mergeCell ref="A15:X15"/>
    <mergeCell ref="A24:F24"/>
    <mergeCell ref="C10:C13"/>
    <mergeCell ref="T11:X11"/>
    <mergeCell ref="I10:I13"/>
    <mergeCell ref="F10:F13"/>
    <mergeCell ref="T10:X10"/>
    <mergeCell ref="E16:E17"/>
    <mergeCell ref="B10:B13"/>
    <mergeCell ref="E10:E13"/>
    <mergeCell ref="K12:N12"/>
    <mergeCell ref="U12:X12"/>
    <mergeCell ref="J12:J13"/>
    <mergeCell ref="A10:A13"/>
    <mergeCell ref="O11:S11"/>
    <mergeCell ref="D10:D13"/>
    <mergeCell ref="H10:H13"/>
    <mergeCell ref="O10:S10"/>
    <mergeCell ref="O12:O13"/>
    <mergeCell ref="A3:X3"/>
    <mergeCell ref="A6:X6"/>
    <mergeCell ref="A7:X7"/>
    <mergeCell ref="A8:X8"/>
    <mergeCell ref="A4:X4"/>
    <mergeCell ref="A1:X1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ПИНЯСОВАОА</dc:creator>
  <cp:keywords/>
  <dc:description/>
  <cp:lastModifiedBy>Федорченко Г.Л</cp:lastModifiedBy>
  <cp:lastPrinted>2019-08-08T10:05:02Z</cp:lastPrinted>
  <dcterms:created xsi:type="dcterms:W3CDTF">2019-07-26T02:45:44Z</dcterms:created>
  <dcterms:modified xsi:type="dcterms:W3CDTF">2019-08-08T13:35:54Z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