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4590" windowHeight="1875" firstSheet="4" activeTab="4"/>
  </bookViews>
  <sheets>
    <sheet name="Отчет" sheetId="14" state="hidden" r:id="rId1"/>
    <sheet name="Лист1" sheetId="20" state="hidden" r:id="rId2"/>
    <sheet name="Лист2" sheetId="22" state="hidden" r:id="rId3"/>
    <sheet name="Отчет за 12 месяцев (2)" sheetId="23" state="hidden" r:id="rId4"/>
    <sheet name="Отчет за 1 квартал" sheetId="25" r:id="rId5"/>
  </sheets>
  <definedNames>
    <definedName name="_xlnm._FilterDatabase" localSheetId="4" hidden="1">'Отчет за 1 квартал'!$C$1:$C$118</definedName>
    <definedName name="_xlnm.Print_Titles" localSheetId="0">Отчет!$4:$6</definedName>
    <definedName name="_xlnm.Print_Titles" localSheetId="4">'Отчет за 1 квартал'!$4:$6</definedName>
    <definedName name="_xlnm.Print_Titles" localSheetId="3">'Отчет за 12 месяцев (2)'!$4:$6</definedName>
    <definedName name="_xlnm.Print_Area" localSheetId="0">Отчет!$A$1:$L$154</definedName>
    <definedName name="_xlnm.Print_Area" localSheetId="4">'Отчет за 1 квартал'!$A$1:$N$107</definedName>
    <definedName name="_xlnm.Print_Area" localSheetId="3">'Отчет за 12 месяцев (2)'!$A$1:$L$197</definedName>
  </definedNames>
  <calcPr calcId="125725"/>
</workbook>
</file>

<file path=xl/calcChain.xml><?xml version="1.0" encoding="utf-8"?>
<calcChain xmlns="http://schemas.openxmlformats.org/spreadsheetml/2006/main">
  <c r="O61" i="25"/>
  <c r="O43"/>
  <c r="O42"/>
  <c r="O41"/>
  <c r="O46"/>
  <c r="P10"/>
  <c r="E96"/>
  <c r="P95"/>
  <c r="K95"/>
  <c r="J95"/>
  <c r="F95"/>
  <c r="O94"/>
  <c r="M94"/>
  <c r="J94"/>
  <c r="P94" s="1"/>
  <c r="F94"/>
  <c r="J93"/>
  <c r="J91" s="1"/>
  <c r="K91" s="1"/>
  <c r="F93"/>
  <c r="F91" s="1"/>
  <c r="P92"/>
  <c r="M92"/>
  <c r="N91" s="1"/>
  <c r="J92"/>
  <c r="K92" s="1"/>
  <c r="F92"/>
  <c r="I91"/>
  <c r="H91"/>
  <c r="G91"/>
  <c r="G96" s="1"/>
  <c r="E91"/>
  <c r="D91"/>
  <c r="C91"/>
  <c r="O89"/>
  <c r="P89" s="1"/>
  <c r="M89"/>
  <c r="N89" s="1"/>
  <c r="K89"/>
  <c r="J89"/>
  <c r="F89"/>
  <c r="K88"/>
  <c r="J88"/>
  <c r="F88"/>
  <c r="O84"/>
  <c r="M84"/>
  <c r="O82"/>
  <c r="P82" s="1"/>
  <c r="M82"/>
  <c r="N82" s="1"/>
  <c r="J82"/>
  <c r="Q82" s="1"/>
  <c r="F82"/>
  <c r="P81"/>
  <c r="K81"/>
  <c r="J81"/>
  <c r="F81"/>
  <c r="O79"/>
  <c r="P79" s="1"/>
  <c r="M79"/>
  <c r="N79" s="1"/>
  <c r="K79"/>
  <c r="J79"/>
  <c r="J78" s="1"/>
  <c r="F79"/>
  <c r="I78"/>
  <c r="I96" s="1"/>
  <c r="H78"/>
  <c r="G78"/>
  <c r="E78"/>
  <c r="D78"/>
  <c r="C78"/>
  <c r="O77"/>
  <c r="P76" s="1"/>
  <c r="M77"/>
  <c r="N76" s="1"/>
  <c r="O76"/>
  <c r="M76"/>
  <c r="J76"/>
  <c r="K76" s="1"/>
  <c r="F76"/>
  <c r="J75"/>
  <c r="K75" s="1"/>
  <c r="F75"/>
  <c r="K74"/>
  <c r="J74"/>
  <c r="F74"/>
  <c r="F71" s="1"/>
  <c r="K73"/>
  <c r="J73"/>
  <c r="F73"/>
  <c r="P72"/>
  <c r="N72"/>
  <c r="J72"/>
  <c r="K72" s="1"/>
  <c r="F72"/>
  <c r="J71"/>
  <c r="I71"/>
  <c r="H71"/>
  <c r="G71"/>
  <c r="E71"/>
  <c r="D71"/>
  <c r="C71"/>
  <c r="M70"/>
  <c r="J70"/>
  <c r="F70"/>
  <c r="O69"/>
  <c r="M69"/>
  <c r="O67"/>
  <c r="P65" s="1"/>
  <c r="M67"/>
  <c r="O65"/>
  <c r="M65"/>
  <c r="N65" s="1"/>
  <c r="J65"/>
  <c r="F65"/>
  <c r="Q63"/>
  <c r="P63"/>
  <c r="O63"/>
  <c r="N63"/>
  <c r="M63"/>
  <c r="J63"/>
  <c r="K63" s="1"/>
  <c r="F63"/>
  <c r="O62"/>
  <c r="M62"/>
  <c r="Q61"/>
  <c r="P61"/>
  <c r="N61"/>
  <c r="M61"/>
  <c r="K61"/>
  <c r="J61"/>
  <c r="F61"/>
  <c r="O59"/>
  <c r="P59" s="1"/>
  <c r="M59"/>
  <c r="N59" s="1"/>
  <c r="K59"/>
  <c r="J59"/>
  <c r="Q59" s="1"/>
  <c r="F59"/>
  <c r="F58" s="1"/>
  <c r="I58"/>
  <c r="H58"/>
  <c r="G58"/>
  <c r="E58"/>
  <c r="D58"/>
  <c r="C58"/>
  <c r="O57"/>
  <c r="M57"/>
  <c r="O56"/>
  <c r="O55"/>
  <c r="M55"/>
  <c r="O54"/>
  <c r="M54"/>
  <c r="O53"/>
  <c r="M53"/>
  <c r="O52"/>
  <c r="P52" s="1"/>
  <c r="M52"/>
  <c r="N52" s="1"/>
  <c r="K52"/>
  <c r="J52"/>
  <c r="F52"/>
  <c r="M51"/>
  <c r="O50"/>
  <c r="P50" s="1"/>
  <c r="M50"/>
  <c r="N50" s="1"/>
  <c r="K50"/>
  <c r="J50"/>
  <c r="F50"/>
  <c r="O49"/>
  <c r="M49"/>
  <c r="O48"/>
  <c r="P48" s="1"/>
  <c r="M48"/>
  <c r="N48" s="1"/>
  <c r="J48"/>
  <c r="F48"/>
  <c r="O47"/>
  <c r="M47"/>
  <c r="M46"/>
  <c r="N44" s="1"/>
  <c r="O45"/>
  <c r="O44"/>
  <c r="J44"/>
  <c r="F44"/>
  <c r="M43"/>
  <c r="M42"/>
  <c r="M41"/>
  <c r="O40"/>
  <c r="M40"/>
  <c r="O39"/>
  <c r="N39"/>
  <c r="M39"/>
  <c r="K39"/>
  <c r="J39"/>
  <c r="F39"/>
  <c r="O38"/>
  <c r="M38"/>
  <c r="O37"/>
  <c r="P37" s="1"/>
  <c r="M37"/>
  <c r="N37" s="1"/>
  <c r="K37"/>
  <c r="J37"/>
  <c r="Q37" s="1"/>
  <c r="F37"/>
  <c r="F36" s="1"/>
  <c r="I36"/>
  <c r="H36"/>
  <c r="G36"/>
  <c r="E36"/>
  <c r="D36"/>
  <c r="C36"/>
  <c r="O35"/>
  <c r="M35"/>
  <c r="K35"/>
  <c r="J35"/>
  <c r="F35"/>
  <c r="O34"/>
  <c r="M34"/>
  <c r="J34"/>
  <c r="K34" s="1"/>
  <c r="F34"/>
  <c r="O33"/>
  <c r="O32"/>
  <c r="P31" s="1"/>
  <c r="M32"/>
  <c r="N31" s="1"/>
  <c r="O31"/>
  <c r="M31"/>
  <c r="J31"/>
  <c r="K31" s="1"/>
  <c r="F31"/>
  <c r="O30"/>
  <c r="M30"/>
  <c r="O29"/>
  <c r="M29"/>
  <c r="O28"/>
  <c r="M28"/>
  <c r="O27"/>
  <c r="M27"/>
  <c r="O26"/>
  <c r="M26"/>
  <c r="O25"/>
  <c r="M25"/>
  <c r="O24"/>
  <c r="M24"/>
  <c r="O22"/>
  <c r="M22"/>
  <c r="M21"/>
  <c r="O20"/>
  <c r="M20"/>
  <c r="O19"/>
  <c r="M19"/>
  <c r="O18"/>
  <c r="M18"/>
  <c r="R16"/>
  <c r="O16"/>
  <c r="P16" s="1"/>
  <c r="N16"/>
  <c r="M16"/>
  <c r="K16"/>
  <c r="J16"/>
  <c r="J15" s="1"/>
  <c r="K15" s="1"/>
  <c r="F16"/>
  <c r="F15" s="1"/>
  <c r="I15"/>
  <c r="H15"/>
  <c r="G15"/>
  <c r="E15"/>
  <c r="D15"/>
  <c r="D96" s="1"/>
  <c r="C15"/>
  <c r="P14"/>
  <c r="K14"/>
  <c r="J14"/>
  <c r="F14"/>
  <c r="O12"/>
  <c r="M12"/>
  <c r="O10"/>
  <c r="M10"/>
  <c r="O8"/>
  <c r="M8"/>
  <c r="N7" s="1"/>
  <c r="Q7"/>
  <c r="P7"/>
  <c r="M7"/>
  <c r="J7"/>
  <c r="K7" s="1"/>
  <c r="F7"/>
  <c r="P39" l="1"/>
  <c r="Q39" s="1"/>
  <c r="P44"/>
  <c r="Q44" s="1"/>
  <c r="R44" s="1"/>
  <c r="C96"/>
  <c r="F78"/>
  <c r="K78" s="1"/>
  <c r="H96"/>
  <c r="R7"/>
  <c r="Q89"/>
  <c r="Q65"/>
  <c r="Q50"/>
  <c r="J96"/>
  <c r="Q52"/>
  <c r="Q48"/>
  <c r="F96"/>
  <c r="K71"/>
  <c r="Q16"/>
  <c r="R52"/>
  <c r="K48"/>
  <c r="K44"/>
  <c r="K65"/>
  <c r="K70"/>
  <c r="K94"/>
  <c r="K82"/>
  <c r="J58"/>
  <c r="K58" s="1"/>
  <c r="J36"/>
  <c r="K36" s="1"/>
  <c r="K96" l="1"/>
  <c r="J70" i="23" l="1"/>
  <c r="J188"/>
  <c r="H82"/>
  <c r="J82" s="1"/>
  <c r="H17"/>
  <c r="G17"/>
  <c r="G181"/>
  <c r="G161"/>
  <c r="G148"/>
  <c r="H148"/>
  <c r="J148"/>
  <c r="Q148" s="1"/>
  <c r="G131"/>
  <c r="J131" s="1"/>
  <c r="Q131" s="1"/>
  <c r="C131"/>
  <c r="H126"/>
  <c r="H120"/>
  <c r="H123"/>
  <c r="G126"/>
  <c r="J187"/>
  <c r="F187"/>
  <c r="J183"/>
  <c r="I183"/>
  <c r="H183"/>
  <c r="G183"/>
  <c r="F183"/>
  <c r="E183"/>
  <c r="D183"/>
  <c r="C183"/>
  <c r="J180"/>
  <c r="P180" s="1"/>
  <c r="F180"/>
  <c r="P179"/>
  <c r="O179"/>
  <c r="M179"/>
  <c r="K179"/>
  <c r="J179"/>
  <c r="F179"/>
  <c r="J178"/>
  <c r="F178"/>
  <c r="F172" s="1"/>
  <c r="O176"/>
  <c r="O174"/>
  <c r="P173" s="1"/>
  <c r="Q174" s="1"/>
  <c r="M173"/>
  <c r="N172" s="1"/>
  <c r="K173"/>
  <c r="J173"/>
  <c r="J172" s="1"/>
  <c r="K172" s="1"/>
  <c r="F173"/>
  <c r="I172"/>
  <c r="H172"/>
  <c r="G172"/>
  <c r="E172"/>
  <c r="D172"/>
  <c r="C172"/>
  <c r="P170"/>
  <c r="O170"/>
  <c r="N170"/>
  <c r="M170"/>
  <c r="K170"/>
  <c r="J170"/>
  <c r="Q170" s="1"/>
  <c r="F170"/>
  <c r="K169"/>
  <c r="J169"/>
  <c r="F169"/>
  <c r="O168"/>
  <c r="M168"/>
  <c r="O164"/>
  <c r="O163"/>
  <c r="M163"/>
  <c r="P161"/>
  <c r="O161"/>
  <c r="M161"/>
  <c r="N161" s="1"/>
  <c r="K161"/>
  <c r="J161"/>
  <c r="Q161" s="1"/>
  <c r="H161"/>
  <c r="F161"/>
  <c r="J160"/>
  <c r="P160" s="1"/>
  <c r="F160"/>
  <c r="K160" s="1"/>
  <c r="O154"/>
  <c r="O153"/>
  <c r="M153"/>
  <c r="O152"/>
  <c r="M152"/>
  <c r="O151"/>
  <c r="O150"/>
  <c r="M150"/>
  <c r="P148"/>
  <c r="O148"/>
  <c r="N148"/>
  <c r="M148"/>
  <c r="F148"/>
  <c r="I147"/>
  <c r="H147"/>
  <c r="G147"/>
  <c r="E147"/>
  <c r="E181" s="1"/>
  <c r="D147"/>
  <c r="D181" s="1"/>
  <c r="D188" s="1"/>
  <c r="C147"/>
  <c r="O145"/>
  <c r="M145"/>
  <c r="O144"/>
  <c r="M144"/>
  <c r="O143"/>
  <c r="P143" s="1"/>
  <c r="M143"/>
  <c r="N143" s="1"/>
  <c r="J143"/>
  <c r="K143" s="1"/>
  <c r="F143"/>
  <c r="P142"/>
  <c r="K142"/>
  <c r="J142"/>
  <c r="F142"/>
  <c r="O141"/>
  <c r="J141"/>
  <c r="K141" s="1"/>
  <c r="F141"/>
  <c r="F138" s="1"/>
  <c r="K140"/>
  <c r="J140"/>
  <c r="P140" s="1"/>
  <c r="F140"/>
  <c r="P139"/>
  <c r="O139"/>
  <c r="N139"/>
  <c r="J139"/>
  <c r="K139" s="1"/>
  <c r="F139"/>
  <c r="J138"/>
  <c r="K138" s="1"/>
  <c r="I138"/>
  <c r="H138"/>
  <c r="G138"/>
  <c r="E138"/>
  <c r="D138"/>
  <c r="C138"/>
  <c r="O137"/>
  <c r="M137"/>
  <c r="J137"/>
  <c r="K137" s="1"/>
  <c r="F137"/>
  <c r="O136"/>
  <c r="M136"/>
  <c r="O135"/>
  <c r="O133"/>
  <c r="M133"/>
  <c r="O131"/>
  <c r="P131" s="1"/>
  <c r="M131"/>
  <c r="N131" s="1"/>
  <c r="F131"/>
  <c r="O128"/>
  <c r="M128"/>
  <c r="P126"/>
  <c r="O126"/>
  <c r="M126"/>
  <c r="N126" s="1"/>
  <c r="G120"/>
  <c r="F126"/>
  <c r="O125"/>
  <c r="M125"/>
  <c r="O124"/>
  <c r="P123" s="1"/>
  <c r="M124"/>
  <c r="N123" s="1"/>
  <c r="O123"/>
  <c r="M123"/>
  <c r="J123"/>
  <c r="K123" s="1"/>
  <c r="F123"/>
  <c r="F120" s="1"/>
  <c r="O121"/>
  <c r="P121" s="1"/>
  <c r="N121"/>
  <c r="M121"/>
  <c r="J121"/>
  <c r="F121"/>
  <c r="I120"/>
  <c r="E120"/>
  <c r="D120"/>
  <c r="C120"/>
  <c r="O119"/>
  <c r="M119"/>
  <c r="O118"/>
  <c r="O117"/>
  <c r="M117"/>
  <c r="N106" s="1"/>
  <c r="O115"/>
  <c r="P115" s="1"/>
  <c r="M115"/>
  <c r="O114"/>
  <c r="O113"/>
  <c r="O112"/>
  <c r="M112"/>
  <c r="O111"/>
  <c r="M111"/>
  <c r="O110"/>
  <c r="M110"/>
  <c r="O109"/>
  <c r="O108"/>
  <c r="O107"/>
  <c r="Q106" s="1"/>
  <c r="R106" s="1"/>
  <c r="M107"/>
  <c r="O106"/>
  <c r="M106"/>
  <c r="J106"/>
  <c r="K106" s="1"/>
  <c r="F106"/>
  <c r="O105"/>
  <c r="M105"/>
  <c r="O104"/>
  <c r="P104" s="1"/>
  <c r="Q104" s="1"/>
  <c r="N104"/>
  <c r="M104"/>
  <c r="K104"/>
  <c r="J104"/>
  <c r="F104"/>
  <c r="O103"/>
  <c r="M103"/>
  <c r="O102"/>
  <c r="P102" s="1"/>
  <c r="Q102" s="1"/>
  <c r="M102"/>
  <c r="N102" s="1"/>
  <c r="K102"/>
  <c r="J102"/>
  <c r="F102"/>
  <c r="O101"/>
  <c r="M101"/>
  <c r="O100"/>
  <c r="O99"/>
  <c r="P98"/>
  <c r="O98"/>
  <c r="Q97" s="1"/>
  <c r="M98"/>
  <c r="N97" s="1"/>
  <c r="J97"/>
  <c r="R97" s="1"/>
  <c r="F97"/>
  <c r="O96"/>
  <c r="O94"/>
  <c r="M94"/>
  <c r="O91"/>
  <c r="O90"/>
  <c r="M90"/>
  <c r="O89"/>
  <c r="M89"/>
  <c r="O88"/>
  <c r="M88"/>
  <c r="O87"/>
  <c r="M87"/>
  <c r="O86"/>
  <c r="M86"/>
  <c r="O83"/>
  <c r="M83"/>
  <c r="P82"/>
  <c r="O82"/>
  <c r="M82"/>
  <c r="N82" s="1"/>
  <c r="F82"/>
  <c r="O78"/>
  <c r="M78"/>
  <c r="O77"/>
  <c r="M77"/>
  <c r="O74"/>
  <c r="M74"/>
  <c r="O72"/>
  <c r="M72"/>
  <c r="P71"/>
  <c r="O71"/>
  <c r="M71"/>
  <c r="N71" s="1"/>
  <c r="J71"/>
  <c r="K71" s="1"/>
  <c r="F71"/>
  <c r="I70"/>
  <c r="G70"/>
  <c r="F70"/>
  <c r="E70"/>
  <c r="D70"/>
  <c r="C70"/>
  <c r="C181" s="1"/>
  <c r="C188" s="1"/>
  <c r="O69"/>
  <c r="O68"/>
  <c r="P68" s="1"/>
  <c r="M68"/>
  <c r="K68"/>
  <c r="J68"/>
  <c r="Q68" s="1"/>
  <c r="G68"/>
  <c r="F68"/>
  <c r="O65"/>
  <c r="M65"/>
  <c r="K65"/>
  <c r="J65"/>
  <c r="F65"/>
  <c r="O64"/>
  <c r="O63"/>
  <c r="M63"/>
  <c r="O62"/>
  <c r="P58" s="1"/>
  <c r="M62"/>
  <c r="O60"/>
  <c r="M60"/>
  <c r="O59"/>
  <c r="M59"/>
  <c r="O58"/>
  <c r="M58"/>
  <c r="N58" s="1"/>
  <c r="J58"/>
  <c r="F58"/>
  <c r="K58" s="1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4"/>
  <c r="M44"/>
  <c r="O43"/>
  <c r="O42"/>
  <c r="M42"/>
  <c r="O41"/>
  <c r="M41"/>
  <c r="O40"/>
  <c r="M40"/>
  <c r="O39"/>
  <c r="M39"/>
  <c r="O34"/>
  <c r="O33"/>
  <c r="M33"/>
  <c r="O32"/>
  <c r="P32" s="1"/>
  <c r="R32" s="1"/>
  <c r="M32"/>
  <c r="O31"/>
  <c r="M31"/>
  <c r="O29"/>
  <c r="M29"/>
  <c r="O26"/>
  <c r="M26"/>
  <c r="N19" s="1"/>
  <c r="O25"/>
  <c r="M25"/>
  <c r="O22"/>
  <c r="M22"/>
  <c r="O19"/>
  <c r="M19"/>
  <c r="J19"/>
  <c r="K19" s="1"/>
  <c r="F19"/>
  <c r="J18"/>
  <c r="I18"/>
  <c r="H18"/>
  <c r="G18"/>
  <c r="E18"/>
  <c r="D18"/>
  <c r="C18"/>
  <c r="O17"/>
  <c r="F17"/>
  <c r="O14"/>
  <c r="M14"/>
  <c r="O12"/>
  <c r="P12" s="1"/>
  <c r="M12"/>
  <c r="O11"/>
  <c r="O10"/>
  <c r="M10"/>
  <c r="O9"/>
  <c r="M9"/>
  <c r="P7"/>
  <c r="O7"/>
  <c r="Q7" s="1"/>
  <c r="M7"/>
  <c r="N7" s="1"/>
  <c r="J7"/>
  <c r="F7"/>
  <c r="Q82" l="1"/>
  <c r="K70"/>
  <c r="H70"/>
  <c r="J17"/>
  <c r="K17" s="1"/>
  <c r="F18"/>
  <c r="K131"/>
  <c r="G184"/>
  <c r="I181"/>
  <c r="I188" s="1"/>
  <c r="H181"/>
  <c r="E188"/>
  <c r="E184"/>
  <c r="R7"/>
  <c r="K18"/>
  <c r="Q121"/>
  <c r="D184"/>
  <c r="C184"/>
  <c r="K148"/>
  <c r="K180"/>
  <c r="K82"/>
  <c r="K97"/>
  <c r="Q123"/>
  <c r="Q144"/>
  <c r="K121"/>
  <c r="P137"/>
  <c r="P141"/>
  <c r="J147"/>
  <c r="K7"/>
  <c r="J126"/>
  <c r="F147"/>
  <c r="H184" l="1"/>
  <c r="H188"/>
  <c r="P17"/>
  <c r="F181"/>
  <c r="F188" s="1"/>
  <c r="I184"/>
  <c r="G188"/>
  <c r="K147"/>
  <c r="J120"/>
  <c r="K120" s="1"/>
  <c r="K126"/>
  <c r="Q126"/>
  <c r="F184" l="1"/>
  <c r="J181"/>
  <c r="K181" l="1"/>
  <c r="J184"/>
  <c r="D5" i="20" l="1"/>
  <c r="D7" s="1"/>
  <c r="A11" l="1"/>
  <c r="J143" i="14" l="1"/>
  <c r="I143"/>
  <c r="H143"/>
  <c r="G143"/>
  <c r="F143"/>
  <c r="E143"/>
  <c r="D143"/>
  <c r="C143"/>
  <c r="P140" l="1"/>
  <c r="J140"/>
  <c r="K140" s="1"/>
  <c r="F140"/>
  <c r="P139"/>
  <c r="J139"/>
  <c r="K139" s="1"/>
  <c r="F139"/>
  <c r="P138"/>
  <c r="J138"/>
  <c r="F138"/>
  <c r="P136" l="1"/>
  <c r="R134" l="1"/>
  <c r="Q134"/>
  <c r="P134"/>
  <c r="K134"/>
  <c r="J134"/>
  <c r="J133" s="1"/>
  <c r="K133" s="1"/>
  <c r="F134"/>
  <c r="F133" s="1"/>
  <c r="I133"/>
  <c r="H133"/>
  <c r="G133"/>
  <c r="E133"/>
  <c r="D133"/>
  <c r="C133"/>
  <c r="P131"/>
  <c r="G131"/>
  <c r="F131"/>
  <c r="P130"/>
  <c r="K130"/>
  <c r="J130"/>
  <c r="G130"/>
  <c r="F130" s="1"/>
  <c r="D130"/>
  <c r="P129"/>
  <c r="P126"/>
  <c r="P125"/>
  <c r="P124"/>
  <c r="P123"/>
  <c r="G123"/>
  <c r="F123"/>
  <c r="K122"/>
  <c r="J122"/>
  <c r="F122" s="1"/>
  <c r="C122"/>
  <c r="P119"/>
  <c r="P118"/>
  <c r="P117"/>
  <c r="P116"/>
  <c r="P111"/>
  <c r="G111"/>
  <c r="G110" s="1"/>
  <c r="F111"/>
  <c r="I110"/>
  <c r="H110"/>
  <c r="F110"/>
  <c r="E110"/>
  <c r="D110"/>
  <c r="C110"/>
  <c r="P109"/>
  <c r="P108"/>
  <c r="P107"/>
  <c r="K107"/>
  <c r="J107"/>
  <c r="F107"/>
  <c r="J106"/>
  <c r="F106"/>
  <c r="K106" s="1"/>
  <c r="P105"/>
  <c r="K105"/>
  <c r="J105"/>
  <c r="F105"/>
  <c r="P104"/>
  <c r="K104"/>
  <c r="J104"/>
  <c r="F104"/>
  <c r="P103"/>
  <c r="Q111" l="1"/>
  <c r="J103"/>
  <c r="K103" s="1"/>
  <c r="F103"/>
  <c r="I102"/>
  <c r="H102"/>
  <c r="G102"/>
  <c r="F102"/>
  <c r="E102"/>
  <c r="D102"/>
  <c r="C102"/>
  <c r="P101"/>
  <c r="K101"/>
  <c r="J101"/>
  <c r="F101"/>
  <c r="P100"/>
  <c r="R97" s="1"/>
  <c r="P97"/>
  <c r="G97"/>
  <c r="F97"/>
  <c r="P95"/>
  <c r="K95"/>
  <c r="J95"/>
  <c r="F95"/>
  <c r="P94"/>
  <c r="K94"/>
  <c r="J94"/>
  <c r="F94"/>
  <c r="P93"/>
  <c r="K93"/>
  <c r="J93"/>
  <c r="J92" s="1"/>
  <c r="F93"/>
  <c r="I92"/>
  <c r="K92" l="1"/>
  <c r="J102"/>
  <c r="K102" s="1"/>
  <c r="H92"/>
  <c r="G92"/>
  <c r="F92"/>
  <c r="E92"/>
  <c r="D92"/>
  <c r="C92"/>
  <c r="P91"/>
  <c r="P90"/>
  <c r="P89"/>
  <c r="P88"/>
  <c r="P87"/>
  <c r="P85"/>
  <c r="P84"/>
  <c r="P82"/>
  <c r="P81"/>
  <c r="K81"/>
  <c r="J81"/>
  <c r="F81"/>
  <c r="P78"/>
  <c r="K77"/>
  <c r="J77"/>
  <c r="F77"/>
  <c r="Q76"/>
  <c r="P76"/>
  <c r="K76" l="1"/>
  <c r="J76"/>
  <c r="F76"/>
  <c r="P75"/>
  <c r="P74"/>
  <c r="P73"/>
  <c r="P72"/>
  <c r="K72"/>
  <c r="J72"/>
  <c r="F72"/>
  <c r="P61"/>
  <c r="P59"/>
  <c r="Q58" l="1"/>
  <c r="K58" l="1"/>
  <c r="J58"/>
  <c r="F58"/>
  <c r="F48" s="1"/>
  <c r="P54"/>
  <c r="P53"/>
  <c r="Q50"/>
  <c r="P49"/>
  <c r="K49"/>
  <c r="J49"/>
  <c r="F49"/>
  <c r="I48"/>
  <c r="H48"/>
  <c r="G48"/>
  <c r="E48"/>
  <c r="D48"/>
  <c r="C48"/>
  <c r="K47"/>
  <c r="J47"/>
  <c r="F47"/>
  <c r="P44"/>
  <c r="J44"/>
  <c r="K44" s="1"/>
  <c r="F44"/>
  <c r="P42"/>
  <c r="P41"/>
  <c r="R39"/>
  <c r="Q39"/>
  <c r="P39"/>
  <c r="K39"/>
  <c r="J39"/>
  <c r="F39"/>
  <c r="Q38"/>
  <c r="P38"/>
  <c r="Q37"/>
  <c r="P37"/>
  <c r="Q36"/>
  <c r="P36"/>
  <c r="J48" l="1"/>
  <c r="K48" s="1"/>
  <c r="P35"/>
  <c r="P34"/>
  <c r="P33"/>
  <c r="P32"/>
  <c r="P30"/>
  <c r="P29"/>
  <c r="P28"/>
  <c r="P27" l="1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J26"/>
  <c r="AI26"/>
  <c r="AH26"/>
  <c r="AF26"/>
  <c r="AE26"/>
  <c r="AD26"/>
  <c r="AC26"/>
  <c r="AA26"/>
  <c r="Z26"/>
  <c r="Y26"/>
  <c r="V26"/>
  <c r="U26"/>
  <c r="T26"/>
  <c r="S26"/>
  <c r="P26"/>
  <c r="BR26" s="1"/>
  <c r="Q27" s="1"/>
  <c r="P24"/>
  <c r="P22"/>
  <c r="P19"/>
  <c r="P18"/>
  <c r="P15"/>
  <c r="P14" l="1"/>
  <c r="P12"/>
  <c r="K12"/>
  <c r="J12"/>
  <c r="J11" s="1"/>
  <c r="H12"/>
  <c r="H11" s="1"/>
  <c r="H141" s="1"/>
  <c r="H144" s="1"/>
  <c r="G12"/>
  <c r="G11" s="1"/>
  <c r="G141" s="1"/>
  <c r="G144" s="1"/>
  <c r="F12"/>
  <c r="I11"/>
  <c r="I141" s="1"/>
  <c r="I144" s="1"/>
  <c r="E11"/>
  <c r="E141" s="1"/>
  <c r="K11" l="1"/>
  <c r="D141"/>
  <c r="D144" s="1"/>
  <c r="F11"/>
  <c r="D11"/>
  <c r="C11"/>
  <c r="K10"/>
  <c r="J10"/>
  <c r="F10"/>
  <c r="P9"/>
  <c r="P8"/>
  <c r="Q7" s="1"/>
  <c r="P7"/>
  <c r="J7"/>
  <c r="F7" s="1"/>
  <c r="C7"/>
  <c r="F141" l="1"/>
  <c r="F144" s="1"/>
  <c r="E144" s="1"/>
  <c r="C141"/>
  <c r="C144" s="1"/>
  <c r="K7"/>
  <c r="J97"/>
  <c r="K97"/>
  <c r="J111"/>
  <c r="K111"/>
  <c r="J110"/>
  <c r="J131"/>
  <c r="K131"/>
  <c r="J123"/>
  <c r="K123"/>
  <c r="J141"/>
  <c r="J144"/>
  <c r="K141"/>
  <c r="K110"/>
</calcChain>
</file>

<file path=xl/sharedStrings.xml><?xml version="1.0" encoding="utf-8"?>
<sst xmlns="http://schemas.openxmlformats.org/spreadsheetml/2006/main" count="639" uniqueCount="436">
  <si>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</si>
  <si>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</si>
  <si>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</si>
  <si>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</si>
  <si>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</si>
  <si>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</si>
  <si>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</si>
  <si>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</si>
  <si>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</si>
  <si>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</si>
  <si>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</si>
  <si>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</si>
  <si>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</si>
  <si>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</si>
  <si>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</si>
  <si>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</si>
  <si>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</si>
  <si>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</si>
  <si>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</si>
  <si>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</si>
  <si>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</si>
  <si>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</si>
  <si>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</si>
  <si>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</si>
  <si>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</si>
  <si>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</si>
  <si>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</si>
  <si>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</si>
  <si>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</si>
  <si>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</si>
  <si>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</si>
  <si>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</si>
  <si>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</si>
  <si>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</si>
  <si>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</si>
  <si>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</si>
  <si>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</si>
  <si>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</si>
  <si>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</si>
  <si>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</si>
  <si>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</si>
  <si>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</si>
  <si>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</si>
  <si>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</si>
  <si>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</si>
  <si>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</si>
  <si>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</si>
  <si>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</si>
  <si>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</si>
  <si>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</si>
  <si>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</si>
  <si>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</si>
  <si>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</si>
  <si>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</si>
  <si>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</si>
  <si>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</si>
  <si>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</si>
  <si>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</si>
  <si>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</si>
  <si>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</si>
  <si>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</si>
  <si>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</si>
  <si>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</si>
  <si>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</si>
  <si>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</si>
  <si>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</si>
  <si>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</si>
  <si>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</si>
  <si>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</si>
  <si>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</si>
  <si>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</si>
  <si>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</si>
  <si>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</si>
  <si>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</si>
  <si>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</si>
  <si>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</si>
  <si>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</si>
  <si>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</si>
  <si>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</si>
  <si>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</si>
  <si>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</si>
  <si>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</si>
  <si>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</si>
  <si>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</si>
  <si>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</si>
  <si>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</si>
  <si>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</si>
  <si>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</si>
  <si>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</si>
  <si>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</si>
  <si>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</si>
  <si>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</si>
  <si>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</si>
  <si>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</si>
  <si>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</si>
  <si>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</si>
  <si>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</si>
  <si>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</si>
  <si>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</si>
  <si>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</si>
  <si>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</si>
  <si>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</si>
  <si>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</si>
  <si>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</si>
  <si>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</si>
  <si>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</si>
  <si>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</si>
  <si>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</si>
  <si>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</si>
  <si>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</si>
  <si>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</si>
  <si>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</si>
  <si>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</si>
  <si>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</si>
  <si>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</si>
  <si>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</si>
  <si>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</si>
  <si>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</si>
  <si>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</si>
  <si>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</si>
  <si>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</si>
  <si>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</si>
  <si>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</si>
  <si>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</si>
  <si>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</si>
  <si>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</si>
  <si>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</si>
  <si>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</si>
  <si>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</si>
  <si>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</si>
  <si>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</si>
  <si>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</si>
  <si>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</si>
  <si>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</si>
  <si>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</si>
  <si>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</si>
  <si>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</si>
  <si>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</si>
  <si>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</si>
  <si>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</si>
  <si>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</si>
  <si>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</si>
  <si>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</si>
  <si>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</si>
  <si>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</si>
  <si>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</si>
  <si>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</si>
  <si>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</si>
  <si>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</si>
  <si>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</si>
  <si>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</si>
  <si>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</si>
  <si>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</si>
  <si>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</si>
  <si>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</si>
  <si>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</si>
  <si>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</si>
  <si>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</si>
  <si>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</si>
  <si>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</si>
  <si>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</si>
  <si>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</si>
  <si>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</si>
  <si>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</si>
  <si>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</si>
  <si>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</si>
  <si>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</si>
  <si>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</si>
  <si>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</si>
  <si>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</si>
  <si>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</si>
  <si>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</si>
  <si>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</si>
  <si>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</si>
  <si>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</si>
  <si>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</si>
  <si>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</si>
  <si>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</si>
  <si>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</si>
  <si>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</si>
  <si>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</si>
  <si>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</si>
  <si>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</si>
  <si>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</si>
  <si>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</si>
  <si>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</si>
  <si>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</si>
  <si>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</si>
  <si>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</si>
  <si>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</si>
  <si>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</si>
  <si>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</si>
  <si>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</si>
  <si>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</si>
  <si>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</si>
  <si>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</si>
  <si>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</si>
  <si>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</si>
  <si>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</si>
  <si>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</si>
  <si>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</si>
  <si>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</si>
  <si>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</si>
  <si>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</si>
  <si>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</si>
  <si>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</si>
  <si>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</si>
  <si>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</si>
  <si>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</si>
  <si>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</si>
  <si>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</si>
  <si>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</si>
  <si>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</si>
  <si>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</si>
  <si>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Первый заместитель Главы администрации </t>
  </si>
  <si>
    <t>Выдано  и реализовано 2 Свидетельства о праве на получение социальной выплаты на приобретение жилого помещения или создание объекта индивидуального строительства, на сумму 1 869 411,60 и  871 778,21 рублей двум молодым семьям  на цели предусмотренные подпунктом «е» пункта 2 Правил предоставления молодым семьям социальных выплат на приобретение (строительство) жилья и их использования, утвержденные Постановлением Правительства РФ от 17.12.2010 № 1050</t>
  </si>
  <si>
    <r>
      <rPr>
        <b/>
        <i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- 851,2</t>
    </r>
    <r>
      <rPr>
        <sz val="14"/>
        <rFont val="Times New Roman"/>
        <family val="1"/>
        <charset val="204"/>
      </rPr>
      <t xml:space="preserve">, в том числе: </t>
    </r>
    <r>
      <rPr>
        <b/>
        <i/>
        <sz val="14"/>
        <rFont val="Times New Roman"/>
        <family val="1"/>
        <charset val="204"/>
      </rPr>
      <t xml:space="preserve">721,0(МБ), 1,3(РХ), 128,9(ФБ)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^Получен сертификат на покупку жилья (Бахарева П.С.) кредиторка 2022г-35,7;                                                                                                                                                              ^Получен сертификат на покупку жилья (Ковальчук Я.А.)- 815,5.</t>
    </r>
  </si>
  <si>
    <r>
      <rPr>
        <b/>
        <sz val="14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- 342,5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Баяны-342,5.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</si>
  <si>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>2.  Экспертиза сметной стоимости (субсидия РБ) - 23,4.</t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</si>
  <si>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- 49,2,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^Поощрения(грамоты,призы)-49,2.                                                                                                                                                                               </t>
    </r>
  </si>
  <si>
    <r>
      <t xml:space="preserve">6.Государственная поддержка отрасли культуры за счет средств резервного фонда Правительства РФ- 152,7 </t>
    </r>
    <r>
      <rPr>
        <sz val="14"/>
        <rFont val="Times New Roman"/>
        <family val="1"/>
        <charset val="204"/>
      </rPr>
      <t>из                                                        них:</t>
    </r>
    <r>
      <rPr>
        <b/>
        <i/>
        <sz val="14"/>
        <rFont val="Times New Roman"/>
        <family val="1"/>
        <charset val="204"/>
      </rPr>
      <t xml:space="preserve"> 3,1 (МБ), 15,0 (РХ), 134,6 (ФБ)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Комплектование книжных фондов.</t>
    </r>
  </si>
  <si>
    <r>
      <t xml:space="preserve">2.Реализация мероприятий по развитию общеобразовательных организаций (за счет средств целевой безвозмездной помощи)-1000,0 (РХ):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^Приобретение уч.мебели Доможаковская СОШ-254,75;                                                                                                                                      ^Ремонт каб. Доможаковская СОШ-745,25.</t>
    </r>
  </si>
  <si>
    <t xml:space="preserve"> о реализации муниципальных программ, действующих на территории Усть-Абаканского района Республики Хакасия за 2023 год.</t>
  </si>
  <si>
    <r>
      <rPr>
        <b/>
        <i/>
        <sz val="14"/>
        <rFont val="Times New Roman"/>
        <family val="1"/>
        <charset val="204"/>
      </rPr>
      <t>Мероприятия по профилактике злоупотребления наркотиками и их незаконного оборота - 20,7,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^Мероприятия по профилактике асоциального поведения несовершеннолетних - 4,0 (грамоты,призы,ГСМ);                                                                                                                                                                                  ^Антинаркотическая акция "Родительский урок" - 2,0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- 1,7 (бумага для офисной техники);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- 7,0 (Полоски "ИХА-5-Мульти-Фактор")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«Жизнь без наркотиков» - 3,0 (канцелярия);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«Здоровая Россия-общее дело»-3,0 (печать буклетов).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</si>
  <si>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4.Иные межбюджетные трансферты на мероприятия по защите населения от чрезвычайных ситуаций, пожарной безопасности и безопасности на водных объектах - 195,9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Профинансировано получение сельсоветами трансферта на обеспечение первичных мер пожарной безопасности:                       Московский сельсовет -11,9; Чарковский сельсовет -15,0; Опытненский сельсовет - 14,0; Доможаковский сельсовет-29,0; Весенненский сельсовет-13,0; Райковский сельсовет-26,0;  Сапоговский сельсовет-24,0; Усть-Бюрский сельсовет-20,0;  Вершино-Биджинский сельсовет-18,0; Расцветовский сельсовет-25,0.    </t>
    </r>
  </si>
  <si>
    <r>
      <t xml:space="preserve">Укрепление безопасности и общественного порядка в Усть-Абаканском районе -11,8, </t>
    </r>
    <r>
      <rPr>
        <sz val="14"/>
        <rFont val="Times New Roman"/>
        <family val="1"/>
        <charset val="204"/>
      </rPr>
      <t>из них:                                                                                         ^Поощрение членов общественных организаций правоохранительной направленности - 10,0;                                                                                                                  ^Оплата госпошлины для получения паспорта для лиц, находящихся в тяжелой жизненной ситуации - 1,8.</t>
    </r>
  </si>
  <si>
    <r>
      <rPr>
        <b/>
        <sz val="14"/>
        <rFont val="Times New Roman"/>
        <family val="1"/>
        <charset val="204"/>
      </rPr>
      <t>Мероприятия по профилактике терроризма и экстремизма - 2,6,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Изготовление  памяток с тематикой  по профилактике террористической и экстремистской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</si>
  <si>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профилактике безнадзорности и правонарушений несовершеннолетних - 60,3</t>
    </r>
    <r>
      <rPr>
        <sz val="14"/>
        <rFont val="Times New Roman"/>
        <family val="1"/>
        <charset val="204"/>
      </rPr>
      <t xml:space="preserve">, из них:                                        ^Приобретение канцелярии - 10,3;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(УКМПСТ)-20,0;                                                                                                    ^Трудоустройство в летний и осенний периоды н/летних, состоящих на проф.учете в КДН и ЗП - 30,0.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</si>
  <si>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- 141,5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участков-141,5.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</si>
  <si>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- 595,0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- 545,0;                                                                 ^Приобретение земельного участка в муниципальную собственность -50,0.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</si>
  <si>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4.Мероприятия по подготовке градостроительной документации - 1761,89, в том числе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^Научно-исследовательские работы по разработке СТП Усть-Абаканского района РХ-1761,89.   </t>
    </r>
  </si>
  <si>
    <r>
      <t>6.Обеспечение обслуживания, содержания и распоряжения муниципальной собственностью - 287,9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- 264,1;                                                                                                                                                                    ^Транспортный налог на муниципальное имущество - 23,8.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</si>
  <si>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1.Обеспечение деятельности УИО - 22786,95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- 12780,61;                                                                                                                                                                       2.Начисления на выплаты по оплате труда - 3958,34;                                                                                                                                                                3.Услуги связи -234,22;                                                                                                                                                                                              4.Работы, услуги по содержанию имущества -467,32 ;                                                                                                                                                                                5.Прочие работы, услуги -648,72 ;                                                                                                                                                                                               6.Приобретение основных средств - 951,4;                                                                                                                                            7.Приобретение ГСМ - 279,52;                                                                                                                                                                         8.Приобретение материальных запасов -343,37 ;                                                                                                                                             9.Страхование ОСАГО- 22,61;                                                                                                                                                                     10.Коммунальные расходы- 460,92;                                                                                                                                                                                      11.Командировочные расходы - 186,03;                                                                                                                                                                               12.Налоги-40,82;                                                                                                                                                                                                                                                                             13.Капитальный ремонт - 1852,62;                                                                                                                                                                                                                                                                                                                          14.Медосмотр - 560,45.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</si>
  <si>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5.Подготовка документов территориального планирования и правил землепользования и застройки - 1644,76, из них 1597,4 (РХ), 47,36 (МБ)  в том числе: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Работы по разработке проек.внесения изменений в документы территориального планирования и градостроительного зонирования Солнечного с/с-700,0;                                                                                                                                                                                                                               ^Научно-исследовательские работы по разработке СТП Усть-Абаканского района РХ-14,76                                                                            ^Работы по описанию местоположен.границ территориальных зон Доможаковскогос/с Усть-Абаканского района-300,00                                                                                                                                                                                                                                           ^Работы по описанию местоположен.границ территориальных зон Сапоговского с/с Усть-Абаканского района-150,0                                        ^Работы по описанию местоположен.границ территориальных зон Весенненского с/с Усть-Абаканского района-150,0                                             ^Работы по описанию местоположен.границ территориальных зон Райковского с/с Усть-Абаканского района -330,0    </t>
    </r>
  </si>
  <si>
    <r>
      <rPr>
        <b/>
        <sz val="14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4623,7 (РХ)                                                                                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</si>
  <si>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sz val="14"/>
        <rFont val="Times New Roman"/>
        <family val="1"/>
        <charset val="204"/>
      </rPr>
      <t>Социальные выплаты гражданам, в соответствии с действующим законодательством -8881,7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8232,7 (МБ),      649,0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- 8011,20;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-72,5;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коммунальные услуги специалистам культуры вышедшим на пенсию, проживающим и работающим  в сельской местности) - 49,0;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- 100,0 (6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4"/>
        <rFont val="Times New Roman"/>
        <family val="1"/>
        <charset val="204"/>
      </rPr>
      <t xml:space="preserve">               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649,0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</si>
  <si>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- 10477,0 (РХ):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Субсидии на выполнения муниципального задания: из средств респуб.бюджета на оплату труда- 8193,7; услуги связи-205,3; коммунальные услуги -50,2, услуги по содержанию имущества-61,1; прочие услуги-103,7;  приобретение  основных средств -1625,1; приобретение мат.запасов- 171,5; прочие расходы - 66,4.</t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</si>
  <si>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4"/>
        <rFont val="Times New Roman"/>
        <family val="1"/>
        <charset val="204"/>
      </rPr>
      <t xml:space="preserve"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- 47765,3, из них  11180,0 (РФ), 36585,3 (РХ).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Приобретены 16  квартир для лиц из числа детей-сирот и детей, оставшихся без попечения родителей. Выдали 2 сертификата и по ним приобретены квартиры.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</si>
  <si>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2.Капитальный ремонт, в муниципальных учреждениях, т.ч. разработка ПСД - 53,0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Проверка сметной документации на капитальный ремонт горячего водоснабжения МАУ "ЗЛ "Дружба"</t>
    </r>
  </si>
  <si>
    <r>
      <t>3. Мероприятия по организации отдыха, оздоровления и занятости несовершеннолетних  - 539,7 ,</t>
    </r>
    <r>
      <rPr>
        <sz val="14"/>
        <rFont val="Times New Roman"/>
        <family val="1"/>
        <charset val="204"/>
      </rPr>
      <t xml:space="preserve">в том числе:   </t>
    </r>
    <r>
      <rPr>
        <b/>
        <i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>Организация временного трудоустройства несовершеннолетних граждан в свободное от учебы время (в том числе состоящие  на учете в КДН) -5 учр.(16 дет.)- 146,6; трудовой отряд "СУЭК" оплата труда н/л МБОУ "Усть-Абаканская СОШ" (12 чел.) - 136,5, на орг. деятельности труд. отряда -33,5,ремонт котельной з/л Дружба-223,1.</t>
    </r>
  </si>
  <si>
    <r>
      <t xml:space="preserve">4.Проведение ремонта загородных детских лагерей, оздоровительных лагерей - 2373,20 (РХ)                                                                                             </t>
    </r>
    <r>
      <rPr>
        <sz val="14"/>
        <rFont val="Times New Roman"/>
        <family val="1"/>
        <charset val="204"/>
      </rPr>
      <t>^Капитальный ремонт горячего водоснабжения МАУ "ЗЛ "Дружба".</t>
    </r>
  </si>
  <si>
    <t xml:space="preserve">^тех.присоединение ИЖД с. Усть-Бюр - 27,9;                                                                                                                                                                                                  ^ПСД с. В-Биджа - 200,0;                                                                                                                                                                                                        ^госэксперт.на строит. с. В-Биджа-183,4;                                                                                                                                                                                                     ^земельный налог - 3,1; кадастровые работы-20,0.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</si>
  <si>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2.Содержание объекта по утилизации биологических отходов - 195,0</t>
    </r>
    <r>
      <rPr>
        <sz val="14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</si>
  <si>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rPr>
        <b/>
        <i/>
        <sz val="14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- 4195,2 (РХ), из них: </t>
    </r>
    <r>
      <rPr>
        <sz val="14"/>
        <rFont val="Times New Roman"/>
        <family val="1"/>
        <charset val="204"/>
      </rPr>
      <t>заработная плата – 732,3; начисления на выплаты по оплате труда – 221,2; уничтожение биологических отходов путем сжигания в спец.печах - 2863,1; запчасти - 125,0; предрейсовый осмотр водителя-4,1; ГСМ-112,5; ремонт спецавтомобиля-131,3;ОСАГО-5,5;комиссия- 0,2.</t>
    </r>
  </si>
  <si>
    <r>
      <rPr>
        <b/>
        <sz val="14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- 16351,5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заработная плата - 11042,12; социальные пособия и компенсации персоналу - 56,70;прочие не социальные выплаты персоналу-4,0; начисления на выплаты по оплате труда - 3526,02; услуги связи - 108,66; коммунальные услуги-254,70; услуги по содержанию имущества - 129,08; прочие работы, услуги - 631,72; увеличение стоимости основных средств - 166,43; увеличение стоимости ГСМ - 243,1; увеличение стоимости мат.запасов - 170,33; увеличение стоимости мягкого инвентаря - 2,29;страхование-12,35; прочие налоги и сборы -4,0.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</si>
  <si>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1.1. Строительство, реконструкция объектов муниципальной собственности, в том числе проектно-сметная документация -110,2, из них: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Разработка ПСД и инженерных изысканий системы водоснабжения с.Зеленое.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</si>
  <si>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1.2. Капитальный ремонт в муниципальных учреждениях, в том числе проектно-сметная документация - 525,7 , из них: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^Экспертиза проверки достоверности сметной стоимости по капитальному ремонту тепловой сети с.Солнечное - 73,4;                                  ^ Экспертиза проверки достоверности сметной стоимости, разработка ПСД на капитальный ремонт тепловой сети с.Солнечное-292,3;                                                                                                                                                                                                                                                  ^Экспертиза металлических дымовых труб в котельных аал.Доможаков,аал Чарков,с.Вершина-Биджа - 140,0;                                                                                                                                                                                                ^Профилактическое испытание электрооборудования объектов котельных по адресам: аал.Чарков,ул.Ленина 21А, п.Вершина-Биджа,ул.Полевая 1А-20,0;.</t>
    </r>
  </si>
  <si>
    <r>
      <rPr>
        <b/>
        <sz val="14"/>
        <rFont val="Times New Roman"/>
        <family val="1"/>
        <charset val="204"/>
      </rP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- 389,5, из них: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1. Ремонт асфальтобетонного покрытия автомобильной дороги ул. 30 лет Победы с. Вершино-Биджа - 99,0;                                                                                    2. Ремонт автомобильной дороги по ул. Механизаторская аал Доможаков, Усть-Абаканского района Республики Хакасия -162,40;                                      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- 56,6;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- 6,0;                                                                                                                                               5. Ремонт автомобильной дороги, расположенной по адресу: Республика Хакасия, Усть-Абаканский район, с. Московское, ул. Степная- 42,9;                   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- 22,6.</t>
    </r>
  </si>
  <si>
    <t xml:space="preserve">3. Ремонт автомобильных дорог - 8829,17, их них:                                                                                                                                                             ^ Ремонт асфальтобетонного покрытия автомобильных дорог местного значения в границах поселений Доможаковского, Московского, Вершино-Биджинского, Усть-Бюрского, Чарковского сельсоветов Усть-Абаканского района Республики Хакасия (ямочный ремонт)- 2 000,0;                                                                                                                                                                                       ^Ремонт автомобильной дороги по ул. Юбилейная с. Вершино-Биджа, Усть-Абаканского района Республики Хакасия (315м)-1 796,26;                              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по ул. Баумана с. Усть-Бюр, Усть-Абаканского района Республики Хакасия (660м)-                                                                                                             1 253, 80;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-0,48;                                                                                           ^Ремонт автомобильной дороги, расположенной по адресу: Республика Хакасия, Усть-Абаканский район, с. Усть-Бюр, ул. Лесхозная (652 м) -2 735,78;                                                                                                                                                                                                                                          ^Ремонт парковочной площадки, расположенной по адресу: Республика Хакасия, Усть-Абаканский район, с. Усть-Бюр, ул. Ленина, 48а - 1 042,85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</si>
  <si>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- 19081,3 (РХ), из них: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Ремонт асфальтобетонного покрытия автомобильной дороги ул. 30 лет Победы с. Вершино-Биджа (0,6 км)-4843,8;                                                       2. Ремонт автомобильной дороги по ул. Механизаторская аал Доможаков, Усть-Абаканского района Республики Хакасия (1,090км) -7957,8;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(1,010км) -2775,1;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(0,257км)-293,8;                                      5. Ремонт автомобильной дороги, расположенной по адресу: Республика Хакасия, Усть-Абаканский район, с. Московское, ул. Степная (0,27км) -2100,7.                                                                                                                                                                                                                     6. Ремонт автомобильной дороги  по ул. Железнодорожная п. Оросительный, Усть-Абаканского района Республики Хакасия (0,27км) - 1 110,1.</t>
    </r>
  </si>
  <si>
    <r>
      <t xml:space="preserve">4. Иные межбюджетные трансферты на содержание, капитальный ремонт, ремонт и строительство автомобильных дорог общего пользования, в том числе разработка проектно-сметной документации-9253,98,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Ремонт дорог ул. Дачная, ул. Тихая д. Чапаево - 7 500,0;                                                                                                                                                                   2. Ремонт автомобильной дороги по ул. Молодежная в д. Чапаево - 599,0;                                                                                                                            3. Устройство парковки по ул. Молодежная в д. Чапаево - 517,27;                                                                                                                                    4. Ямочный ремонт автомобильной дороги по ул. Советская в с. Калинино - 459,09;                                                                                                                5. Ремонт автомобильной дороги по ул. Советская в с. Калинино - 178 ,62.</t>
    </r>
  </si>
  <si>
    <t>4.Обеспечение безопасности дорожного движения (обустройство пешеходных переходов) - 606,2:                                                                     ^Выполнение работ по обустройству пешеходного перехода в районе МБОУ "В-Биджинская СОШ", расположенного по адресу: Республика Хакасия, Усть-Абаканский район, с. Вершино-биджа, ул. 30 лет Победы, 28 - 606,2.                                                                                5. Установка дорожных знаков - 195,36 ;                                                                                                                                                                                                6. Дорожная разметка - 439,69;                                                                                                                                                                                                                  7. Разработка ПОДД и технических паспортов - 842,82.</t>
  </si>
  <si>
    <r>
      <rPr>
        <b/>
        <sz val="14"/>
        <rFont val="Times New Roman"/>
        <family val="1"/>
        <charset val="204"/>
      </rPr>
      <t xml:space="preserve">Организация, координация туристической деятельности и продвижения туристического продукта .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 Мероприятия в области туризма - 65,0 в том числе: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Организация и проведение мероприятий:                                                                                                                                                                                                           1."День открытых дверей" - 29,7 (усл.шамана-13,2, оформление-16,5);                                                                                                                             2."День туризма" -29,38 (усл.шамана-13,18. оформление-16,20);                                                                                                                                            3. Мастер-классы - 2,78 (оформление);                                                                                                                                                                                                              4. Изготовление полиграфической продукции, направленной на популяризацию туристских объектов Усть-Абаканского района (буклеты, календари) - 3,14.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</si>
  <si>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6.Строительство универсального спортивного зала п.Усть-Абакан - 8794,94,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Стройконтроль-47,67; технологическое присоединение к теплосети-1664,17, авторский надзор-92,82; подключение к наружным сетям связи-156,0; технологическое присоединение к эл.сетям-428,32; внесение изменений в ПСД-143,65; строительство универсального спорт.зала-6032,31; кадастровые работы-230,0.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</si>
  <si>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8.Обеспечение деятельности подведомственных учреждений МАУ "Универсальный спортивный зал» - 1821,3, </t>
    </r>
    <r>
      <rPr>
        <sz val="14"/>
        <rFont val="Times New Roman"/>
        <family val="1"/>
        <charset val="204"/>
      </rPr>
      <t xml:space="preserve">в том числе: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- 223,59;                                                                                                                                                                                             2. Начисления на выплаты по оплате труда (ст.213) - 39,95;                                                                                                                                                                                        3. Прочие работы, услуги (ст.226) - 127,74;                                                                                                                                                                                         4. Увеличение стоимости основных средств (ст.310) - 862,61;                                                                                                                                              5. Мягкий инвентарь (ст. 345) - 9,09;                                                                                                                                                                                                    6. Увеличение стоимости прочих оборотных запасов (материалов)(ст.346) - 344,78;                                                                                                                7.  Увеличение стоимости прочих материальных запасов - 20,00.                                                                                                                                                                     Ост-к - 193,54.</t>
    </r>
  </si>
  <si>
    <r>
      <rPr>
        <b/>
        <i/>
        <sz val="14"/>
        <rFont val="Times New Roman"/>
        <family val="1"/>
        <charset val="204"/>
      </rPr>
      <t>5.Укрепление материально-технической базы - 150,0,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 мат)-50,0.                                                                                                                                                                                                  </t>
    </r>
  </si>
  <si>
    <t xml:space="preserve">16.Турнир по футболу(медали,кубки)—5,67;                                                                                                                                                                                  17. Первенство по боксу—10,20;                                                                                                                                                                                           18. Фестиваль хакасских народных игр (медали)—8,10;                                                                                                                                                                           19. Летняя эстафета (шоколад)—4,80;                                                                                                                                                                                              20. Турнир по наст. Теннису—2,56;                                                                                                                                                                                  21. Конкурс (денежные сертификаты)—4,0;                                                                                                                                                                                               22. Турнир по футболу—6,35;                                                                                                                                                                                                                         23. ГТО—7,06;                                                                                                                                                                                                                                                        24. Настольный теннис—3,7;                                                                                                                                                                                                                                          25. Орг.спорт.площадки—1,5;                                                                                                                                                                                                            26. 9 мая 9 сладкие подарки)—1,24;                                                                                                                                                                                                                                                        27. Каратэ (баннер)—5,9;                                                                                                                                                                                                                        28. Спортивные мероприятия ( вместо отмены дня физкультурника)- (сувениры)-(28,89+13,14)=42,03;                                                                                  29. Легкоатлетический кросс-2,53 (сувениры);                                                                                                                                                                                    30. Лучший спортсмен школы-4,0 (сувенир);                                                                                                                                                                                                        31. Открытие спортивного сезона-20,47;                                                                                                                                                                                                           32. Ледовый городок - (9,75+570,25)=580;                                                                                                                                                                                           33. День России (кубки, медали)— 7,68;   </t>
  </si>
  <si>
    <t>34. Откр. тур-р по хоккею с мячом-6,0;                                                                                                                                                                                                                         35. Тур-р по шахматам, футболу, теннису, баскетболу - 12,84;                                                                                                                                                                               36. Чемп-т перв-ва по рукопаш. бою-20,31;                                                                                                                                                                                                           37.Открытие ледового катка 1.12.2023-49,84;                                                                                                                                                                                               38. Районный тур-р по баскетболу среди девочек 2013 г.р. -2,46;                                                                                                                                                               39. Спартакиада ГТО-3,2;                                                                                                                                                                                                                  40. Тур-р по наст. теннису-3,6;                                                                                                                                                                                                                   41. Районный тур-р по наст. теннису в личном зачете с ОВЗ-4,9;                                                                                                                                                                                              42. Кросс Нации 2023-7,28,                                                                                                                                                                                                                                       43. Первенство по баскетболу - 6,02;                                                                                                                                                                                                                                             44. Наст. теннис - 5,7.</t>
  </si>
  <si>
    <r>
      <t>Обеспечение развития отрасли физической культуры и спорта.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</t>
    </r>
    <r>
      <rPr>
        <b/>
        <i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-5976,42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- 4466,10;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- 1283,02;                                                                                                                                                                3.Больничные листы-4,9;                                                                                                                                                                                                           Остаток - 222,4.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</si>
  <si>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с сфере физической культуры и спорта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- 1024,22,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- 12,00 (Медали, кубки);                                    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- 4,56 (медали);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- 14,50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- 30,00(медали,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-9,45;                         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                                       8. Проведение спартакиады — 12,97;                                                                                                                                                                                                            9. Проведение открытого районного турнира по греко-римской борьбе — 8,16;                                                                                                             10. Спартакиада (медали,кубки) — 10,29;                                                                                                                                                                                                11. Фестиваль наст. Игр д/людей с орг.возм. (медали,призы)— 4,14;                                                                                                                                               12. Спартакиада по конному спорту(кубки) — 8,50;                                                                                                                                                            13. Турнир по футболу (кубки, призы, статуэтка) — 4,05;                                                                                                                                                                                   14. Турнир по минифутболу (кубки, медали, призы)—12,15;                                                                                                                                                                               15. Турнир по футболу ( кубки, медали, призы)— 6,40;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</si>
  <si>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-5079,7.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- 180,0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- 12,0;                                                                                                                                                          ^Изготовление баннера - 4,5;                                                                                                                                                                                                ^Изготовление памяток - 16,4;                                                                                                                                                                                                                                                            ^Проведение мероприятий по ликвидации ЧС, связанному с заразным узелковым дерматитом, в с.Калинино,аал.Сапогов - 147,1.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3.Материально-техническое обеспечение единых дежурно-диспетчерских служб муниципальных образований - 395,2,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>7,9</t>
    </r>
    <r>
      <rPr>
        <b/>
        <i/>
        <sz val="14"/>
        <rFont val="Times New Roman"/>
        <family val="1"/>
        <charset val="204"/>
      </rPr>
      <t xml:space="preserve"> (МБ), 387,3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^Приобретение автоматизированнойая системы мониторинга окружающей среды - 106,4                                                                                                      ^Приобретение источника бесперебойного питания - 60,2;
^Приобретение телефонного аппарата - 4,5;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форменной одежды для персонала - 31,4                                                                                                                                                        ^Приобретение дивана -25,1                                                                                                                                                                                                                                  ^Приобретение оргтехники (клавиатура,мыши для компьютера, монитор,системный блок,МФУ) - 167,6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</si>
  <si>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-2103,4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1.Заработная плата (ст.211) — 1272,52;                                                                                                                                                                                                              2.Начисления на выплаты по оплате труда (ст.213) — 364,08;                                                                                                                                                               3.Услуги связи (ст.221) —20,32;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(ст.225)- 2,4;                                                                                                                                                                   5.Увеличение стоимости прочих материальных запасов (ст. 346)- 18,63 (канц. товары);                                                                                                     6.Больничные листы(ст.266) - 6,2;                                                                                                                                                                                                                                  7.Командировочные расходы(ст.226) - 35,5;                                                                                                                                                               8.Увеличение стоимости основных средств (ст. 310)- 244,75;                                                                                                                                                                                                          9. Остаток на счете-139,0             </t>
    </r>
  </si>
  <si>
    <r>
      <rPr>
        <b/>
        <i/>
        <sz val="14"/>
        <rFont val="Times New Roman"/>
        <family val="1"/>
        <charset val="204"/>
      </rPr>
      <t>2. Мероприятия в области молодежной политики - 538,0,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2.Районная акция «Блокадный хлеб» - 2,4 (хлеб 75 гр.).                                                                                                                                              3.Трудоустройство несовершеннолетним  — 55,0;                                                                                                                                                                   4.9 мая — 38,74;                                                                                                                                                                                                                               5.Районный слет «Доброе дело» —28,8;                                                                                                                                                                                            6.Акция «Здоровая Россия» —11,20;                                                                                                                                                                                                   7.Грант Главы-50,0;                                                                                                                                                                                                                  8.Мегапикник-31,8;                                                                                                                                                                                                                                                   9.Молодёжная инициатива - 37,0;                                                                                                                                                                                                                         10.Безымянных могил не бывает - 21,0;                                                                                                                                                                                      11.Экологическая акция -1,0;                                                                                                                                                                                                                                                         12.Форум активной молодежи - 89,44;                                                                                                                                                                                                                                        13.День матери - 9,8;                                                                                                                                                                                                                                                               14.Премия главы - 52,0 (УК)+6,5=58,5;                                                                                                                                                                                                                     15.Утро с МФЦ- 25,64;                                                                                                                                                                                                                                                                                                     16.Праздник в каждый дом- 29,67;                                                                                                                                                                                                                                  17.Волонтерам быть здорово - 19,0;                                                                                                                                                                                                                                                                                                                             18.Конкурс с детьми ОВЗ - 6,6;                                                                                                                                                                                                                                                                 19.Доброспектр - 8,4; 20. Ост-к: чистый берег-0,01.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</si>
  <si>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- 7225,8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5157,87;                                                                                                                                                                          2. Начисления на выплаты по оплате труда (ст.213) — 1604,54;                                                                                                                                                            3. Соц. пособия (Б. листы) (ст. 266)  - 9,38;                                                                                                                                                                                                                                                                4. Услуги связи (ст.221) — 21,84;                                                                                                                                                                                                                     5. Услуги по содержанию имущества (ст.225) — 9,6 (заправка и ремонт картриджа и системного блока);                                               6. Прочие работы и услуги (ст.226) — 410,07 ;                                                                                                                                                                                                                           7. Увеличение стоимости прочих материальных запасов (ст. 346)- 8,0 (канц. товары);                                                                                                                                                                                                      8. Увелич. ст-ти ОС (ст 310)- 1,0                                                                                                                                                                                                                                      9. Командировочные расходы(суточные)-3,5.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</si>
  <si>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РДК Дружба:                                                                                                                                                                                                                                                                  1. Орг.взнос Всероссийского конкурса хореограф. Искусства «Pachka» г. Абакан— 7,0 ;                                                                                                                 2. Районная выставка мастеров декоративно-прикладного тв-ва «Волшебные нити» — 6,1 (оформление, призы);                                                                           3. День работников культуры — 30,0 (сувениры 46 шт.);                                                                                                                                               4. Чыл Пазы аал Райков  — 3,0 (сладкие призы);                                                                                                                                                            5. Орг.взнос Всероссийского фестиваля по хореографии«Сибирская карусель» г. Абакан  — 7,2;                                                                                         6. Районный конкурс-выставка декоративно-прикладного искусства «Слава тебе защитник» — 6,1 (призы, грамоты);                                                           7. Пасхальное чудо — 11,2;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Уч-ие в межрегиональном конкурсе-(орг.взнос)-3,0;                                                                                                                                                                                                                                                 9. Уч-ие во всероссийском фестивале-конкурсе (орг взнос)-6,0;                                                                                                                                                                                  10. Фестиваль патриотической песни-15,0;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Праздник первого грома-3,0;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 Конкурс «сказочная страна»-7,72;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Летний отдых (мастер-классы)-15,0;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 Международный фестиваль «КИТ»(орг взнос)-5,6;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Участие в хореограф. Конкурсе «Сила движ» (пошив 12 костюмов)-96,0;                                                                                                                                            16. Выездные мероприятия — 22,72;                                                                                                                                                                                     17.Портативная акустика д/выездн. мероприятий - 109,0.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</si>
  <si>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- 24236,5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1.Заработная плата (ст.211) — 14740,40;                                                                                                                                                                        2.Начисления на выплаты по оплате труда (ст.213) — 4224,8;                                                                                                                3.Социальные пособия(ст266)- 36,95;                                                                                                                                                                 4.Командировочные (ст212)-3,5;                                                                                                                                                                                    5.Услуги связи (ст.221) — 88,7;                                                                                                                                                                6.Коммунальные услуги (ст.223) —2115,96;                                                                                                                                                          7.Работы, услуги по содержанию имущества (ст.225) —334,1;                                                                                                                                         8. Прочие работы, услуги (ст.226) — 404,6;                                                                                                                                                               9.Увеличение стоимости основных средств (ст.310) —88,8;                                                                                                                                                                                                                                                 10.Увеличение стоимости ГСМ (ст.343) —251,64 ;                                                                                                                                                                                                                                             11.Увеличение стоимости строит. материалов (ст.344) — 153,58;                                                                                                                         12.Увеличение стоимости прочих оборотных запасов( ст.346) — 226,23 (канц. и хоз.товары);                                                                   13.Прочие расходы (ст.290)- 0,60;                                                                                                                                                                                                                    14.Страхование (ст.227) —  34,5;                                                                                                                                                                                  15.Медикаменты(ст 349)-0,25;                                                                                                                                                                                                               16.Налоги, сборы прочие ( ст.291) - 367,73;                                                                                                                                                                                                      Остаток на счете - 1164,16.                                                                                                                                                               </t>
    </r>
  </si>
  <si>
    <t xml:space="preserve">19. 35-Летие ВОИ-17,92;                                                                                                                                                                                                         20. День лошади — 3,0;                                                                                                                                                                                                                                                            21. День дошк.работника-10,45;                                                                                                                                                                                                     22. Конкурс пожил.людей-25,0.                                                                                                                                                                                                                                               26. Мероприятие "Родине служить"-5,0;                                                                                                                                                                                                                             27. Конкурс "Творчество б/границ-10,03;                                                                                                                                                                                                  28. Фотоконкурс "Улыбка моей мамы"-7,95;                                                                                                                                                                                                      29. Повышение квалиф. тр. в учр.-8,80;                                                                                                                                                                                                        30. Онлайн конкурс "Хорошо нам с бабушкой и дедушкой" - 3,0;                                                                                                                                                                                              31. День сотрудников ОВД-3,41;                                                                                                                                                                                                                             32. Конкурс "Рожденные в СССР"-27,36;                                                                                                                                                                                                   33. В кругу друзей-6,98;                                                                                                                                                                                                                                                                                        34. Оформление елки-(82,44-17,65)=64,79;                                                                                                                                                                                                          35. Фотоконкурс "Папа Вам не мама"-4,90;                                                                                                                                                                                        36. Конкурс "Марафон творчества"- 20,63;                                                                                                                                                                                                                   37. С любовью д/мамы-8,16;                                                                                                                                                                                                                        38. Конкурс "Мастерская природы"-38,56;                                                                                                                                                                                             39. Фестиваль казачьей культуры-49,1;                                                                                                                                                                                                                                        40. Поддержка участников СВО-5,98.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</si>
  <si>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32. ДПИ "О чем мечтает папа" - 20,33;                                                                                                                                                                                                            33. День матери - 9,97;                                                                                                                                                                                                                                      34. Оформление уличной елки - 97,03;                                                                                                                                                                                                                                                                35. Участие в респ. конкурсе баллетмест. им. С.Д. Словиной - 39,82;                                                                                                                                                                   36.Блокировка системы ПС-38,73;                                                                                                                                                                                                                                                                                                                       37. Противопожарные двери - 70,25;                                                                                                                                                                                                        38.Новогодний бал д/старшего поколения - 26,32;                                                                                                                                                                                                               39. Елка желаний - 28,30;                                                                                                                                                                                                                                      40. Костюмы - 77,00;                                                                                                                                                                                                                                                       41.Районный конкурс ДПИ "Новогоднее чудо" - 15,00;                                                                                                                                                                                 42. Всероссийский конкурс хореографии "Стежки дорожки"-59,71.                                                                                                                                                          Ост-к: 281,76.</t>
  </si>
  <si>
    <r>
      <t xml:space="preserve">3.Капитальный ремонт в муниципальных учреждениях,в том числе проектно-сметная документация-297,4, из них: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1.Госэкспертиза (ДШИ) — 89,1;                                                                                                                                                                                                                              2. Проверка сметной докум. на кап.ремонт фойе (ДК Гагарина) — 121,95.                                                                                                                                                              Остаток - 86,35 (Госэкспертиза РДК)</t>
    </r>
  </si>
  <si>
    <r>
      <rPr>
        <b/>
        <i/>
        <sz val="14"/>
        <rFont val="Times New Roman"/>
        <family val="1"/>
        <charset val="204"/>
      </rPr>
      <t>4.Укрепление материально-технической базы - 568,0,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31,7;                                                                                    2.Радиоаппаратура-41,58;                                                                                                                                                                                                                     3.Музыкальное оборудование-149,67;                                                                                                                                                                                                                4. Световое оборудование - 33,0                                                                                                                                                                                                               5.Сетевой пульт — 23,30;                                                                                                                                                                                                                           6. Ноутбук — 146,25;                                                                                                                                                                                                                                                           7. Сетевой прибор— 37,5 (РДК).                                                                                                                                                                                                                    Ост-к: 105,00 (акустическая система ДК)                        </t>
    </r>
  </si>
  <si>
    <r>
      <rPr>
        <b/>
        <i/>
        <sz val="14"/>
        <rFont val="Times New Roman"/>
        <family val="1"/>
        <charset val="204"/>
      </rPr>
      <t xml:space="preserve">1.4.Поддержка и развитие систем коммунального комплекса в муниципальных образованиях Республики Хакасия - 5782,3 в том числе: 5666,6 (РХ), 115,7 (МБ):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^Поставка блочно-модульной котельной с установкой в с. Солнечное - 4704,0;                                                                                                                                                                                                                                                                                                      ^Технологическое присоединение электроустановки системы водоснабжения с.Зеленое - 1078,3.</t>
    </r>
  </si>
  <si>
    <t xml:space="preserve">21. Приобретение (монитор, ультразвук, проектор) - 108,20;                                                                                                                                                                        22. Приобретение офисной мебели (мышь б/пров., кресло офисное)-34,10;                                                                                                                                                                                                    23. Приобретение орг. техники (принтер 2 шт)-61,80;                                                                                                                                                                                            24. Ремонт двери - 37,03;                                                                                                                                                                                                               25. Стеллажи офисные - 1012,80;                                                                                                                                                                                                                                                             26. Приобретение (брошюратор, ламинатор, колонки) -11,93;                                                                                                                                               Остаток на счете - 72,8.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</si>
  <si>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- 3015,4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1.МФУ лазерное Xerox WorkCenter — 26,50 ;                                                                                                                                                                                   2.Мониторы Philips — 31,34;                                                                                                                                                                                       3.База данных электронный каталог ЛитРес: Библиотека — 50,0; Обучение — 9,37;                                                                                                                                                     4.Ноутбук HP — 30,0.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5.Текущий ремонт Чапаевской библиотеки-524,58;                                                                                                                                                                                                                                                                                                                      6.Подписка —0,83;                                                                                                                                                                                                                                                  7.Книги — 234,4;                                                                                                                                                                                                                8.Брощюровщик —7,3;                                                                                                                                                                                                                     9.Проектор—91,5;                                                                                                                                                                                                                                                10.Принтеры—93,90;                                                                                                                                                                                                                                                                          11.Сист. Блок—77,8;                                                                                                                                                                                                                                              12.Открытие «Недели хакасской лит-ры и культуры»—4,08;                                                                                                                                                                                                                                                                                    13.Юбилей Сапоговской библ.—4,59                                                                                                                                                                                 14.Комплектование книжных фондов-200,00;                                                                                                                                                                                                     15.Создание усл. д/откр. моб. библиотеки-39,99;                                                                                                                                                                  16.Оформление детской библиотеки (мебель, игрушки)-35,96;                                                                                                                                        17.Юбилей юношеской библиотеки-14,71;                                                                                                                                                                         18.Приобр. биб. техники (формуляры, карточки и т.д.)-11,97;                                                                                                                                                              19. Юбилей библиотек Ташебинской +Калининской - 43,54;                                                                                                                                                              20. Текущий ремонт библиотек (№24-21,57; №21-64,01; №18-28,79)-144,38;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</si>
  <si>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3.Капитальный ремонт в муниципальном учреждении, в т.ч проектно-сметная документация - 217,8,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^Капитальный ремонт библиотеки-217,8</t>
    </r>
    <r>
      <rPr>
        <b/>
        <i/>
        <sz val="14"/>
        <rFont val="Times New Roman"/>
        <family val="1"/>
        <charset val="204"/>
      </rPr>
      <t xml:space="preserve"> </t>
    </r>
  </si>
  <si>
    <r>
      <t xml:space="preserve">4.Укрепление материально-технической базы муниципальных учреждений в сфере культуры- 970,5, из них:                                                         19,4(МБ), 951,1 (РХ). 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фондов- 970,5;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</si>
  <si>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5.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508,9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</t>
    </r>
    <r>
      <rPr>
        <i/>
        <sz val="14"/>
        <rFont val="Times New Roman"/>
        <family val="1"/>
        <charset val="204"/>
      </rPr>
      <t>:</t>
    </r>
    <r>
      <rPr>
        <b/>
        <i/>
        <sz val="14"/>
        <rFont val="Times New Roman"/>
        <family val="1"/>
        <charset val="204"/>
      </rPr>
      <t xml:space="preserve"> 10,2(МБ), 498,7(РХ).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</si>
  <si>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rPr>
        <b/>
        <i/>
        <sz val="14"/>
        <rFont val="Times New Roman"/>
        <family val="1"/>
        <charset val="204"/>
      </rPr>
      <t xml:space="preserve">3. Обеспечение безопасности музейного фонда и развитие музеев - 451,7,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1.Дератизация, акарицидная обработка-75,6;                                                                                                                                                                            2.Опашка территории-22,3;                                                                                                                                                                                                          3.Хакасская нац. одежда-72,1;                                                                                                                                                                                                               4.Мероприятие "Ожившая история долины царей"-29,2;                                                                                                                                                                                                        5.Стеллажи д/музея-252,5.</t>
    </r>
  </si>
  <si>
    <r>
      <rPr>
        <b/>
        <i/>
        <sz val="14"/>
        <rFont val="Times New Roman"/>
        <family val="1"/>
        <charset val="204"/>
      </rPr>
      <t>4.Проведение мероприятий для ветеранов ВОВ, тружеников тыла, вдов ветеранов ВОВ, «детей войны» в связи с празднованием 78-й годовщины Победы за счет средств благотворительной помощи от АО «Угольная компания «Разрез Степной» по договору № РС-2023/392 от 27.04.2023 года - 100,0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1. Ограждение металлическое (9 мая) —100,00.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</si>
  <si>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1.Создание условия для обеспечения современного качества образования - 340,54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- 81,19;                                                                                                                                       ^Поощрит.выплаты выпускникам-медалистам-45,0;                                                                                                                                                                     ^Проезд учащихся-победителей в лагерь -214,35.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</si>
  <si>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34162,02,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труда-28474,84, услуги связи-27,26, коммунальные услуги-880,59, услуги по содержанию имущества-337,67, прочие услуги-770,05, прочие расходы-128,51,  увеличение стоимости основных средств-912,06; увеличение стоимости материальных запасов-793,87,остаток на счете-1837,17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</si>
  <si>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17881,90,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                                                 Расходы на выполнения муниципального задания из средств районного бюджета: оплата труда-15408,0, услуги связи-17,92, коммунальные услуги -680,29, услуги по содержанию имущества-87,94, прочие услуги- 149,57, прочие расходы-0,6, увеличение стоимости основных средств - 389,53, увеличение стоимости материальных запасов - 22,15, остаток на счете-1125,9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</si>
  <si>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- 15530,14,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оплата труда-14839,58, услуги связи-52,96, коммунальные услуги -259,32, услуги по сод.имущества - 193,83, прочие услуги-81,02, прочие расходы-7,84, приобретение мат.запасов-95,59.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</si>
  <si>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</si>
  <si>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t xml:space="preserve">^Монтаж, замена уличного освещения: д/с Родничок-52,45, д/с Звездочка-167,91; д/с Калинка-24,24 (столб)                                                                    ^Приобретение огнетушителей: д/с Радуга-21,73;                                                                                                                                                                      ^Приобретение мультимедии: д/с Ромашка-50,2;                                                                                                                                                                   ^Приобретение кондиционера: д/с Рябинушка-96,6.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</si>
  <si>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3.Мероприятия по развитию дошкольного образования - 7901,09,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Рябинушка-199,1,д/сЗвездочка-122,1,д/сАленушка-138,32,           д/с Радуга - 22,75);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Ромашка-23,44, д/с Рябинушка-112,27, д/с Радуга-168,57, д/с Аленушка-130,0);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Ромашка-55,0, д/сСолнышко - 37,90);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Ромашка-8,0, д/сРябинушка-13,0,д/с Солнышко-7,8, д/с Радуга-4,0);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Солнышко-122,4, д/с Рябинушка - 53,84) 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^Ремонт крыши (д/с Солнышко)- 2510,2;                                                                                                                                                                               ^Ремонт освещения, электрооборудования( д/с Рябинушка-165,44, д/с Солнышко-80,98);                                                                         ^Приобретение напольного покрытия: д/с Аленушка-35,0;                                                                                                                                                          ^Приобретение игр.оборуд.на участок: д/с Рябинушка-154,2;                                                                                                                                         ^Проверка качества огнезащитной обработки дерев.конструкций: д/с Радуга-13,6; д/с Ромашка - 12,3.                                                                                                         ^Замена пожарной лестницы (д/с Ромашка)-597,85;                                                                                                                                                 ^Монтаж АУПС (д/с Рябинушка)-1133,3;                                                                                                                                                                                               ^Устройство брусчатки д/с Аленушка-1410,6;                                                                                                                                                                            ^Приобретение телефона (д/с Радуга)- 5,0;                                                                                                                                                      ^Приобретение колонки (д/с Рябинушка)- 5,0.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</si>
  <si>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- 142877,35 (РХ)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труда-139686,24, услуги связи-75,07, прочие услуги- 1815,90, приобретение мат.запасов-694,18,приобретение основных средств-605,96.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</si>
  <si>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5. Модернизация региональных систем дошкольного образования - 3267,35, из них: 3202,00 (РХ), 65,35 (МБ)</t>
    </r>
    <r>
      <rPr>
        <b/>
        <sz val="14"/>
        <rFont val="Times New Roman"/>
        <family val="1"/>
        <charset val="204"/>
      </rPr>
      <t xml:space="preserve">:                                                                   </t>
    </r>
    <r>
      <rPr>
        <sz val="14"/>
        <rFont val="Times New Roman"/>
        <family val="1"/>
        <charset val="204"/>
      </rPr>
      <t>1. Монтаж входных калиток: д/с Звездочка, д/с Солнышко, д/с Аленушка, д/с Ласточка, д/с Родничок, д/с Радуга,                                          д/с Ромашка, д/с Рябинушка; 2. Кап.ремонт кровли, замена окон: д/с Звездочка.</t>
    </r>
  </si>
  <si>
    <r>
      <rPr>
        <b/>
        <i/>
        <sz val="14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- 905,87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спортивного зала Чарковская СОШИ-34,78;                                                                      2. Проверка смет.док. на кап.ремонт: Весенненская СОШ-5,0, У-А СОШ-5,0;                                                                                                                                                                                                   3. Гос.экспертиза на кап.ремонт: У-А СОШ-145,96, Весенненская СОШ-116,13;                                                                                                                                                    4. ПСД на кап.ремонт кровли Доможаковская СОШ-599,0.  </t>
    </r>
  </si>
  <si>
    <r>
      <rPr>
        <b/>
        <i/>
        <sz val="14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- 36195,71 (ФБ)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</si>
  <si>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- 603727,94(РХ)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труда- 589563,22; услуги связи- 167,52; прочие услуги-4565,22; приобретение основных средств- 6898,80; приобретение мат.запасов - 2533,18.   </t>
    </r>
  </si>
  <si>
    <r>
      <t>6.Приобретение жилья для специалистов с высшим педагогическим образованием - 7602,63, из них:  7450,58 (РХ), 152,05(МБ)</t>
    </r>
    <r>
      <rPr>
        <sz val="14"/>
        <rFont val="Times New Roman"/>
        <family val="1"/>
        <charset val="204"/>
      </rPr>
      <t>Приобретение квартир для педагогов.</t>
    </r>
  </si>
  <si>
    <t xml:space="preserve">8.Организация школьного питания - 6502,78 из них: 1951,77 (МБ), 4551,01(РХ).         </t>
  </si>
  <si>
    <t xml:space="preserve">9. Частичное погашение кредиторской задолженности - 4,08, в том числе: 4,0 (РХ),0,08 (МБ) </t>
  </si>
  <si>
    <r>
      <rPr>
        <b/>
        <i/>
        <sz val="14"/>
        <rFont val="Times New Roman"/>
        <family val="1"/>
        <charset val="204"/>
      </rPr>
      <t xml:space="preserve">10.Организация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4"/>
        <rFont val="Times New Roman"/>
        <family val="1"/>
        <charset val="204"/>
      </rPr>
      <t>- 34214,4</t>
    </r>
    <r>
      <rPr>
        <b/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342,14 (МБ), 3387,23(РХ), 30485,03(ФБ).                                                                                                                                                                 </t>
    </r>
  </si>
  <si>
    <t>13.Устройство пандуса: Весенненская СОШ-215,91;                                                                                                                                                                                 14.Монтаж видеонаблюдения: Калининская СОШ-125,68;                                                                                                                                                                                                            15.Ремонт кровли: Сапоговская СОШ-80,97, У-А СОШ-300,99 (водосточн.);                                                                                                      16.Проект ЗСО: Сапоговская СОШ-157,35;                                                                                                                                                                                                                                                                         17.Сан-эпид.экспертиза ЗСО: Сапоговская СОШ-19,04;                                                                                                                                                                                         18.Изготов.тех.паспорта: Весенненская СОШ-44,12;                                                                                                                                                                            19.Приобретение кондиционеров: Доможаковская СОШ-39,5, Росток-90,0, Красноозерная ООШ-37,15;                                                      20.Ремонт ограждения: У-А СОШ-753,84, У-Бюрская СОШ-418,34;                                                                                                                       21.Ремонт помещений: У-А СОШ-861,99, ОШИ-2385,57, Расцветская СОШ-1506,59, Сапоговская СОШ-734,63, Чарковская СОШИ-4463,95 (интернат), Опытненская СОШ-218,75 (вентиляция), Калининская СОШ-1980,45 (пищ.блок), Красноозерная ООШ-22,0, Расцветская СОШ-409,50, Доможаковская СОШ-43,69;                                                                                                                                                                                             22.Приобретение футболок: У-А СОШ-10,0;                                                                                                                                                                                                                             23.Приобретение оборуд.в музей: Солнечная СОШ-50,0, У-Бюрская СОШ-40,0, Весенненская СОШ-50,0;                                                                24.Огнезащит.обраб.: У-А СОШ-68,61, Калининская СОШ-39,15;                                                                                                                                                                25.Проверка кач-ва огн.обр.: ОШИ-4,0, Калининская СОШ-4,0 , Опытненская СОШ-18,0, Московская СОШ-13,0, Чарковская СОШИ-13,0, У-Бюрская СОШ-19,04;</t>
  </si>
  <si>
    <r>
      <t xml:space="preserve">Региональный проект Республики Хакасия «Цифровая образовательная среда»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образовательных организаций материально-технической базой для внедрения цифровой образовательной среды - 20486,19, из них: 16078,10 (ФБ); 4162,41 (РХ); 245,68 (МБ)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Приобретение орг.техники для каб. ЦОС Чарковская СОШИ -3751,88, Росток-3751,88, Доможаковская СОШ -3751,88, Сапоговская СОШ-3751,88, Красноозерная ООШ-1397,04;                                                                                                                                         2. Приобретение уч.мебели: Чарковская СОШИ -257,63, Росток-244,36, Сапоговская СОШ-251,7, Красноозерная ООШ-231,78;                                                                                                                                                                                                         3. Ремонт каб.: Чарковская СОШИ -762,78, Росток-776,04, Сапоговская СОШ-768,71, Красноозерная ООШ-788,63.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</si>
  <si>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Региональный проект Республики Хакасия «Успех каждого ребенка»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- 3357,30, из них: 2290,39(РФ), 1023,13(РХ), 43,78(МБ)</t>
    </r>
    <r>
      <rPr>
        <sz val="14"/>
        <rFont val="Times New Roman"/>
        <family val="1"/>
        <charset val="204"/>
      </rPr>
      <t xml:space="preserve">                                                                                Капитальный ремонт спорт.зала и приобретение спорт.инвентаря Чарковская СОШИ.    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</si>
  <si>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организациях- 323,51, из них 320,28 (ФБ),3,23 (РХ)    </t>
    </r>
    <r>
      <rPr>
        <sz val="14"/>
        <rFont val="Times New Roman"/>
        <family val="1"/>
        <charset val="204"/>
      </rPr>
      <t>Оплата труда советников.</t>
    </r>
  </si>
  <si>
    <r>
      <rPr>
        <b/>
        <i/>
        <sz val="14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         48 128,00 (РХ)</t>
    </r>
    <r>
      <rPr>
        <b/>
        <sz val="14"/>
        <rFont val="Times New Roman"/>
        <family val="1"/>
        <charset val="204"/>
      </rPr>
      <t>, в том числе:</t>
    </r>
    <r>
      <rPr>
        <sz val="14"/>
        <rFont val="Times New Roman"/>
        <family val="1"/>
        <charset val="204"/>
      </rPr>
      <t xml:space="preserve"> Опекунское пособие на 280 детей - 29396,3; вознаграждение приемным семьям 44 чел. - 18731,7.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</si>
  <si>
    <r>
      <t xml:space="preserve">5.Ремонт загородных детских лагерей, оздоровительных лагерей - 48,5 </t>
    </r>
    <r>
      <rPr>
        <sz val="14"/>
        <rFont val="Times New Roman"/>
        <family val="1"/>
        <charset val="204"/>
      </rPr>
      <t>Софинансирование к республиканскому бюджету на капитальный ремонт горячего водоснабжения МАУ "ЗЛ "Дружба".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</si>
  <si>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- 19188,5, в том числе: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   заработная плата – 13433,31; начисления на выплаты по оплате труда – 4025,84; пособие по врем.нетрудоспособности-30,99; командировочный расходы - 1,0; услуги связи- 158,38; страховка - 4,1; ГСМ-47,7; работы, услуги по содержанию имущества – 79,6; прочие работы, услуги – 863,32; увеличение стоимости основных средств –445,06; увеличение стоимости материальных запасов – 90,4;величение стоимости прочих материальных запасов-7,2; налоги-1,6.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</si>
  <si>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- 10262,70,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- 7210,49;выходное пособие-47,44; пенсии, пособия, выплачиваемые работодателями, нанимателями бывшим работникам в денежной форме-181,17; начисления на выплаты по оплате труда – 2245,87; услуги связи – 84,4; работы, услуги по содержанию имущества – 73,36; прочие работы, услуги – 165,58; увеличение стоимости материальных запасов – 62,59; увеличение стоимости основных средств – 130,35; ГСМ-55,28; ОСАГО-5,29;  транспорт.налог-0,88.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</si>
  <si>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- 771,00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</si>
  <si>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- 1506,50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- 720,50 (РХ)      </t>
    </r>
  </si>
  <si>
    <r>
      <t>5.Финансовое обеспечение расходных обязательств поселений на решение вопросов местного значения -                          6867,10 (МБ).               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Иные межбюджетные трансферты бюджетам поселений на финансовое обеспечение расходных обязательств по решению вопросов местного значения.</t>
    </r>
  </si>
  <si>
    <r>
      <t xml:space="preserve">6. Повышение эффективности деятельности органов местного самоуправления-144,80, из них 141,80(РХ), 3,0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18 человек, в том числе: администрация - 8чел. (73,5), УЖКХ - 2чел. (11,5), УФиЭ - 2 чел. (10,4), УИЗО - 2 чел. (14,4), Управление сельского хозяйства - 2чел. (4,9), Управление образования- 1 чел.(20,6), УКМПСТ - 1 чел (9,5).</t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</si>
  <si>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- 122 359,0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- 122359,00.                                                                    </t>
    </r>
  </si>
  <si>
    <r>
      <t xml:space="preserve">Развитие архивного дела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1.Мероприятия по поддержке и развитию культуры, искусства и архивного дела - 156,7, из них:                                                                                 </t>
    </r>
    <r>
      <rPr>
        <sz val="14"/>
        <rFont val="Times New Roman"/>
        <family val="1"/>
        <charset val="204"/>
      </rPr>
      <t>1. Радиотелефоны-13,50;                                                                                                                                                                                                                                             2. Стеллажи металлические - 40,30;                                                                                                                                                                                          3. Архивные короба- 102,9.</t>
    </r>
    <r>
      <rPr>
        <i/>
        <sz val="14"/>
        <rFont val="Times New Roman"/>
        <family val="1"/>
        <charset val="204"/>
      </rPr>
      <t xml:space="preserve">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</si>
  <si>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- 1069,7: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«Масленичные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                 5. 9 мая — 113,65;                                                                                                                                                                                                                                       6. День защиты детей-24,6;                                                                                                                                                                                                                                                                7. День защиты детей - 4,26;                                                                                                                                                                                                         8. День ВМФ - 10,0.                                                                                                                                                                                                                                                                       9. Тетрализ.програм.д/детей "Посвящ. в первоклассники"- 14,98;                                                                                                                                                                                       10. Ёлка главы- 38,75;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Новогодний бал д/старшего поколения - 30,00;                                                                                                                                                                                                     12. Ёлка главы-93,97;                                                                                                                                                                                                                                                       13. Ёлка желаний - 35,00;                                                                                                                                                                                                                                                       14. Новогодние утренники - 102,66;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Ост-к: 10,02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</si>
  <si>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сфере развития и гармонизации межнациональных отношений - 566,7: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49,69 (оформление, призы, трансп.расходы);                                                                                                                                                                             3. Праздник "Про деревню" (оформл., нагр.)-121,0;                                                                                                                                                                                          4.Уртун Тойы-128,33;                                                                                                                                                                                                                                                       5.Конкурс Алып-10,31;                                                                                                                                                                                                                                  6.Фестиваль нац.пестни-25,0.                                                                                                                                  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1. Чыл Пазы  — 35,90 (мех иск., габардин, шитье орнамент, ленты, канат, 2 баннера);                                                                                                                             2. На проведение тетрализ. программы Чыл Пазы  — 14,00 (Баннера-4 шт.):                                                                                                                                                      3.Уртун Тойы-25,97;                                                                                                                                                                                                                                            4. Мероприятие "Игровой переполох"- 95,00.                                                                                                                                                                                                                                                                  ЦБС: 1.Книжный фонд - 30,0.                                                                                                                                                                                                                        Салбык: 1. Мастер-класс "Музейные уроки" (мед натур, черемуха, талган, стакан одн, масло слив.)-15,00.                                                                                                  Д/с "Радуга": 1. Олимпиада «Тигiр хуры» (Радуга)-6,0.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</si>
  <si>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- 23362,7, </t>
    </r>
    <r>
      <rPr>
        <sz val="14"/>
        <rFont val="Times New Roman"/>
        <family val="1"/>
        <charset val="204"/>
      </rPr>
      <t xml:space="preserve">в том числе: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—17006,24;                                                                                                                                                                                           2. Начисления на выплаты по оплате труда (ст.213) - 5317,12;                                                                                                                                                                                              3. Услуги связи (ст.221) — 77,8;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—133,57;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—383,72;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8,42;                                                                                                                                                                                                      7. Увеличение стоимости  ГСМ (ст.343) —297,1;                                                                                                                                                                                                         8. Увеличение стоимости прочих оборотных запасов (материалов) (ст.346) — 5,76 (канц. товары);                                                                                                                                   9.Прочие расходы(ст.290)- 5,5;                                                                                                                                                                         10.Больничные листы(ст266) - 44,43;                                                                                                                                                                                                                     11.Прочие расходы (ст.297)-83,04.</t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</si>
  <si>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"Спорт-норма жизни" - 85 515,6, из них 14 230,7 (МБ), 57 479,9 (РХ), 13805,0 (ФБ):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зала-74161,6;                                                                                                                                                         2.Строительный контроль -1286,0;                                                                                                                                                                                                 3.Приобретение технологического оборудования - 10068,0.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</si>
  <si>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- 2510,0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Оплата труда - 1236,77;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- 354,88;                                                                                                                                                                   3.Коммунальные услуги-82,62;                                                                                                                                                                                                                                          4.Услуги по содержанию имущества (ст.225) — 0,8 (шиномонтаж — 0,8);                                                                                                                                         5.Увеличение стоимости проч.расходов - 53,10;                                                                                                                                           6.Увеличение стоимости прочих оборотных запасов (ст.346) — 41,24 (канц. и хоз. расх);                                                                                                                                                                   7.Увеличение стоимости ГСМ - 530,41;                                                                                                                                                                       8.Увеличение стоимости основных средств (ст.310) — 7,39;                                                                                                                               9.Налоги, пошлины и сборы (ст. 291) — 69,82 (налог на им-во, трансп. налог);                                                                                                                                                                                                                                                                                                                                                                                                                                                                                                                                                                                                                                                                                                                             10.Прочие расходы-0,07;                                                                                                                                                                                                                               Остаток на счете - 132,9.</t>
    </r>
  </si>
  <si>
    <r>
      <rPr>
        <b/>
        <sz val="14"/>
        <rFont val="Times New Roman"/>
        <family val="1"/>
        <charset val="204"/>
      </rPr>
      <t>Содействие формирования туристической инфраструктуры и материально-технической базы.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1.Развитие музеев под открытым небом, в том числе разработка проектно-сметной документации- 819,0, из них:802,6 (РХ),16,4 (МБ):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^Капитальный ремонт юрт МАУК "Музей "Салбык".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для создания условий формирования туристической инфраструктуры - 1362,7: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^Монтаж электрооборудования МАУК "Музей "Салбык" - 362,9;                                                                                                                                                               ^Уточнение границ объекта культурного наследия федерального значени (Археологические изыскания) - 500,00;                                                                                                                         ^Проведение историко-культурной экспертизы земельного участка для строительства автомобильной дороги - 499,8.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</si>
  <si>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области улучшений условий и охраны труда - 3105,10,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^Проведение производственного контроля - 1646,51;                                                                                                                                                                                                                                     ^Приобретение специальной одежды  - 367,26;                                                                                                                                                                                                              ^Проведение специальной оценки условий труда -184,40;                                                                                                                           ^Проведение обучения по охране труда - 205,20;                                                                                                                                                                                                                      ^Проведение мед. осмотров - 610,80;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- 0,4;                                                                                                         ^Приобретение смывающих и обеззараживающих средств (крем, мыло) -10,17;                                                                                                               ^Обустройство мест отдыха (тонометр) - 2,16;                                                                                                                                                                                                    ^Приобретение аптечек -1,5;                                                                                                                                                                                                         ^Приобретение стендов   - 5,4;                                                                                                                                                                                                          ^Приобретение "Системы охраны труда" - 71,3.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</si>
  <si>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1.3. Субсидии муниципальным казенным предприятиям на финансовое обеспечение затрат, связанных с погашением кредиторской задолженности: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^Погашение кредиторской задолженности МКП «ЖКХ Усть-Абаканского района» - 15910,0;   </t>
    </r>
    <r>
      <rPr>
        <b/>
        <sz val="14"/>
        <rFont val="Times New Roman"/>
        <family val="1"/>
        <charset val="204"/>
      </rPr>
      <t xml:space="preserve">  </t>
    </r>
  </si>
  <si>
    <r>
      <rPr>
        <b/>
        <sz val="14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торговли".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</si>
  <si>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- 3323,30,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- 2948,6, коммунальные услуги - 146,3, прочие расходы-32,4, приобретение мат.запасов-196,0.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</si>
  <si>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- 3163,1: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Конкурс-выставка «На защите Родины» (игры, наушники)-3,5;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                                                                                                                                                             11. Фейерверк в честь 9 мая —500,00;                                                                                                                                                                                                                                      12. Инсталляция «Звездный коридор»  — 220,00;                                                                                                                                                                               13. Плита мраморная (10 шт) —32,66;                                                                                                                                                                                                                                                                   14. Солдатская (перловая) каша на 9 мая —8,85;                                                                                                                                                                                                        15 Митинг «дня памяти и скорби» венки, цв. —25,0;                                                                                                                                                         16. Возложение к могиле неизв солдата (самокл.фотобум) —2,0;                                                                                                                                                                               17. Венок из ж. цв. , гвоздики (9 мая) —22,0;                                                                                                                                                                                                                                                                    18. Баннера (9 мая) —22,00;                                                                                                                                                                                                 20. Награждение за рисунки в конкурсе «Мы победили» —5,4;                                                                                                                           </t>
    </r>
  </si>
  <si>
    <r>
      <t xml:space="preserve">Сохранение культурных ценностей:
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- 4759,9,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—2543,07 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- 703,43;                                                                                                                                                                                 3. Услуги связи (ст. 221) —45,14;                                                                                                                                                                                                     4.Коммунальные услуги (ст.223) —259,79 ;                                                                                                                                                                                  5. Услуги по содержанию имущества (ст.225) — 133,51;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220,10;                                                                                                                                               7.Увеличение стоимости прочих оборотных запасов (материалов)(ст.346)  - 250,03(хоз.товары, канц.товары);                                                                   8. Увеличение стоимости ГСМ (ст.343) — 144,55;                                                                                                                                                              9.Страхование (ст.227) - 19,1;                                                                                                                                                                                                                                 10. Увелич-е ст-ти строит мат-ов (ст. 344)  — 28,5;                                                                                                                                                                        11. Увелич-е ст-ти ОС (ст 310)  — 41,79;                                                                                                                                                                                                                                  12. Прочие расходы (ст. 297)— 0,13;                                                                                                                                                                                           13.Пособие по врем.нетрудоспособности(ст.266) - 4,37;                                                                                                                                                          14.Медикаменты (ст.341) - 1,13;                                                                                                                                                                               15.Налоги -193,94;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на счете — 171,32.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</si>
  <si>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(МБУК «Усть-Абаканская ЦБС») - 35784,2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- 24231,26 ;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- 6638,19 ;                                                                                                                                         3. Услуги связи - 211,86(ст.221)  ;                                                                                                                                                                                                                          4. Коммунальные услуги (ст.223) - 1153,74 ;                                                                                                                                                                                                        5. Услуги по содержанию имущества (ст.225) - 277,03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- 296,9 (услуги по охране);                                                                                                                                                 7.Увеличение стоимости прочих оборотных запасов (материалов)(ст.346) - 266,5 (хоз.товары);                                                                                        8. Увеличение стоимости основных средств (ст.310) - 327,64;                                                                                                                                                     9. Увеличение стоимости ГСМ (ст.343)-59,42;                                                                                                                                                                           10. Увеличение стоимости строит.материалов (ст.344) - 24,75;                                                                                                                                                             11. Увеличение стоимости прочих материальных запасов однократного применения (ст. 349)-9,1                                                                                                                                                                     12.Пособие по врем.нутруд(ст266)- 107,79;                                                                                                                                                                                         13. Прочие расходы (ст.297) -1,72;                                                                                                                                                                                           14.Остатки на счете -2178,30.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</si>
  <si>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 xml:space="preserve">ДК Гагарина:                                                                                                                                                                                                                                                                    1.Лыжня России  — 1,53 (баннер);                                                                                                                                                                                                            2..Конкурс «Буду Родине служить»  — 19,0 (пленка д/ламинир., пилотки, батарейки, ватман, бумага гофр, лента);                                               3.ДК им.Гагарина — 4,75 (лента, жаккард, подар. ткань);                                                                                                                                                                         4. Концерт «День храбрости, доблести, силы - 9,74 (баннер);                                                                                                                     5.Конкурс Дни д/детей «8 марта- праздник мамы»  — 9,94;                                                                                                                                                                                                                                             6. Мастер-класс «Стринг-арт» д/молодежи   - 3,6 (доска, гвоздь, нитки, морилка, фотобумага, коврик д/резки);                                                       7. Мероприятие, посвящ. Дню работников бытового обслуж. населения ЖКХ - 43,83 (подарки);                                                                                                                                                                                                          8. Видеонаблюдение — 180,03;                                                                                                                                                                                                           9. Ремонт узла учета тепловой энергии— 138,00;                                                                                                                                                                  10. Участие в фестивале конкурсе танца Новосибирск (билеты, командир, )—45,67;                                                                                                   11. День муниципального служащего —129,10;                                                                                                                                                                                       12. Мероприятие «Вперед к успеху» (выпускной)—15,81;                                                                                                                                                 13. 50-летие Доможаковской КДЦ (конф, цв. Торт) — 16,84;                                                                                                                                                    14. День смеха (концерно-игр. Программа)—6,0;                                                                                                                                                          15.  Концерт на звание народного хора ветеранов—11,3;                                                                                                                                              16. развлекательная программа «С любовью к людям»—10,56;                                                                                                                                                        17. 60-летие Военкомата—10,39;                                                                                                                                                                                                                          18. Концерт на звание «Образцовый» вокальной студии «Провинция»—7,28;                                                                                                                                19. День медика— 73,51;                                                                                                                                                                                                                                     20. День грома—2,5;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 День космонавтики—5,0.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 Текущий ремонт здания ДК- 751,26;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Концерт к Дню выборов (баннер, батарейки)- 2,78;                                                                                                                                                     24. Монтаж противопожарных дверей — 70,25;                                                                                                                                        25.Огнезащ.обработка,испыт.ограж.кровли,замок анти паника — 142,64.                                                                                                                                                              26. День учителя— 46,42;                                                                                                                                                                                                                     27. Участие в международном конкурсе  "Радуга" г. Барнаул - 25,44;                                                                                                                                                                                       28. Открытие творч. сезона - 14,99;                                                                                                                                                                                                     29.Сельхоз. ярмарка - 48,40;                                                                                                                                                                                                                             30. Республиканский конкурс "Родные напевы" - 10,00;                                                                                                                                                                                                            31. Вручение паспортов - 12,28;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</si>
  <si>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- 3699,5,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2. V районный конкурс народного творчества «Пою моё отечество»  (баннер, крона, креп-атлас щит, индик, скотч)- 27,08;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                                              5. Замена э/оборуд. — 384,43;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Мероприятие «Жизнь культуре посвящается»  —34,9;                                                                                                                                                                       7. Мероприятие «Жизнь культуре посвящается»  — 8,1;                                                                                                                                                              8. (9 мая) баннер — 9,84;                                                                                                                                                                                                                                                    9. День российского предпринимательства —4,31.                                                                                                                                                                               10. 9 мая —150,00;                                                                                                                                                                                                                                                 11. 50-ти летний Юбилей Доможаковской КДЦ —4,0;                                                                                                                                                                    12. Клубное формир. «Возраст делу не помеха» —7,0;                                                                                                                                                                    13. Конкурс «Звонкое чудо-частушка» — 3,0;                                                                                                                                                            14. Выставка «Нам жить и помнить»—6,65;                                                                                                                                                                                   15. Районный конкурс детского худ. чтения — 6,96;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 Беспроводной микрофон  —37,52;                                                                                                                                                                                               17. День физкультурника — 4,42;                                                                                                                                                                                                                                          18. День семьи любви и верности — 9,93;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</si>
  <si>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- 6852,8,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труда-6597,4; услуги по содержанию имущества-6,5, прочие услуги-5,4, увеличение стоимости основных средств-188,6, увеличение стоимости материальных запасов-54,9.</t>
    </r>
  </si>
  <si>
    <r>
      <rPr>
        <b/>
        <i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- 627,2,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^Планировка территории Усть-Абаканская ДШИ (для строительства нового здания)-566,2;                                                                                      ^Испыт.пож.лестниц ЦДО-8,5;                                                                                                                                                                                                                                         ^Вершина -50,0;                                                                                                                                                                                                                                                    ^Обучение по пожарной безопасности ЦДО - 2,5.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</si>
  <si>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t xml:space="preserve">3.Реализация мероприятий по развитию общеобразовательных организаций -20,41,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^Приобретение уч.мебели Доможаковская СОШ-5,2;                                                                                                                                                                                                ^ Ремонт каб. Доможаковская СОШ-15,21</t>
    </r>
  </si>
  <si>
    <r>
      <rPr>
        <b/>
        <i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- 12601,57, из них:  12349,54(РХ), 252,03(МБ)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Кап.ремонт помещений: Доможаковская СОШ, У-Бюрская СОШ, У-А СОШ; 2. Монтаж входных калиток: Красноозерная ООШ, Сапоговская СОШ, У-А СОШ, Райковская СОШ, Солнечная СОШ, Доможаковская СОШ, Расцветская СОШ, Опытненская СОШ, ОШИ, Чарковская СОШИ, Росток, Весенненская СОШ, В-Биджинская СОШ, У-Бюрская СОШ, Калининская СОШ, Московская СОШ, Чапаевская СОШ.  </t>
    </r>
  </si>
  <si>
    <t>26. Приобретение орг.техники: Калининская СОШ-70,0, Сапоговская СОШ-140,0, Московская СОШ-239,96, Доможаковская СОШ-50,0, Росток-70,0, Райковская СОШ-70,0, У-А СОШ-1202,44, Весенненская СОШ-70,0, Красноозерная ООШ-70,0, Солнечная СОШ-70,0;                                                                                                                                                                                                                                                    27. Приобретение мебели в группу д/с: Весенненская СОШ-199,87, Красноозерная ООШ-82,2;                                                                28. ПСД на АУПС: У-А СОШ-383,88, Весенненская СОШ-15,0, ОШИ-300,0;                                                                                                                                                                                     29. Монтаж, дооборуд. АУПС: Опытненская СОШ-1145,16, Московская СОШ-1069,98, Чарковская СОШИ-328,37,                      У-А СОШ-2,99, У-Бюрская СОШ-58,48, В-Биджинская СОШ-83,63;                                                                                                                                                                     30. Замена окон, дверей: Чапаевская СОШ-252,63 (сад), Весенненская СОШ-500,0 (сад), Опытненская СОШ-114,13, У-А СОШ-120,04, В-Биджинская СОШ-92,50;                                                                                                                                                                             31.Проведение ГИА-29,7;                                                                                                                                                                                                                        32.Установка пож.дверей, люков: У-А СОШ-44,0, Опытненская СОШ-94,0;                                                                                                                   33.Приобретение жалюзи: У-А СОШ-24,12, Сапоговская СОШ-21,0;                                                                                                                                                                    34.Испытание пожарных кранов и лестниц,огражд.кровли: ОШИ-2,0, Росток-30,0, В-Биджинская СОШ-10,0, Весенненская СОШ-15,70;                                                                                                                                                                                                                                     35. Проведение конкурсов: "Про100лидеры"-17,0, "Педагог дошкольного образования" -24,55, "Учитель года"-25,0, "Августовская конференция"-38,5 , "День дошкольного работника"-45,0 , "День учителя"-65,83, "Рождественские чтения"-5,0, "Победители"-19,96, "Педагогический дуэт"-4,5.</t>
  </si>
  <si>
    <r>
      <t>Обеспечение деятельности органов местного самоуправления - 15212,8, в том числе: 11017,6 (МБ), 4195,2 (РХ),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- 10822,6,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6546,3;                                                                                                                                                                                                                                                                       2.Социальное пособие - 109,7;                                                                                                                                                                                                                                                                                             3.Выходное пособие - 128,5;                                                                                                                                                                                            4.Начисления на выплаты по оплате труда – 2033,7;                                                                                                                                                                         5.Услуги связи – 114,6;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–126,8;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–247,1;                                                                                                                                                         11.Прочие расходы –1426,6;                                                                                                                                                                                                                                                                       12.Налог на имущество-11,9;                                                                                                                                                                                            13.Транспортный налог-5,1.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</si>
  <si>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комплексного развития сельских территорий в части реализации мероприятий, связанных со строительством жилого помещения(жилого дома),предоставляемого гражданам по договорам найма жилого помещения (в том числе софинансирование с республиканским бюджетом) - 3268,2 в том числе: 2296,0 (МБ),   9,8 (РХ), 962,4 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 строительство жилого дома в аал Чарков - 3173,5;                                                                                                                                                                      ^ стройконтроль-94,7.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</si>
  <si>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Мероприятия, направленные на патриотическое воспитание граждан - 259,20, </t>
    </r>
    <r>
      <rPr>
        <i/>
        <sz val="14"/>
        <rFont val="Times New Roman"/>
        <family val="1"/>
        <charset val="204"/>
      </rPr>
      <t xml:space="preserve">из них: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                                              3."Юнармейцы в юбках" - 15,3;                                                                                                                                                                                                            4. Военно-полевые сборы -25,9;                                                                                                                                                                                                                            5. Награждение за участие в патриот.соревн-33,1;                                                                                                                                                                              6."Она звучит, не умирая"-20,0;                                                                                                                                                                                         7."По следам предков"-7,5;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Зарничка (боевое братство)-8,0;                                                                                                                                                                                                                                      9. Первенство Усть-Абаканского района по рукопашному бою -21,3;                                                                                                                        10.Спартакиада молодежи-67,8;                                                                                                                                                                                  11.Дистанционная олимпиада"Герои ВОВ"-0,5;                                                                                                                                                                                     12. Кейсы "Сыны России"-3,0;                                                                                                                                                                                                                13. Юнармейский форум-36,0;                                                                                                                                                                                                      14. Региональный турнир по борьбе-13,42 (ст.349); турнир по баскетболу-5,28 (ст.349).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</si>
  <si>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3.5"/>
        <rFont val="Times New Roman"/>
        <family val="1"/>
        <charset val="204"/>
      </rPr>
      <t>3. Создание условия для обеспечения современного качества образования - 32317,16,  в том числе:</t>
    </r>
    <r>
      <rPr>
        <b/>
        <sz val="13.5"/>
        <rFont val="Times New Roman"/>
        <family val="1"/>
        <charset val="204"/>
      </rPr>
      <t xml:space="preserve">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1.Ремонт освещения, электрооборудования: Чапаевская СОШ-125,59, Росток-458,30, У-А СОШ-576,6 , Расцветская СОШ-26,99,                                                                     В-Биджинская СОШ-337,19, Весенненская СОШ-95,13, Опытненская СОШ-38,93, Чарковская СОШ-592,01;                                                                                                                                                                                                                                                      2.Обучение пож-тех минимум: Росток-2,5, Сапоговская СОШ-5,0, В-Биджинская СОШ-5,0, У-А СОШ-10,0, Доможаковская СОШ-5,0, Опытненская СОШ-5,0, Расцветская СОШ-5,0;                                                                                                                                                                           3.Обучение кочегаров: Чапаевская СОШ-9,6, Райковская СОШ-7,5;                                                                                                                                                                                    4.Санитарная безопасность:  приобретение оборудования и инвентаря для медицинских кабинетов: Московская СОШ-41,8, Весенненская СОШ-12,2;                                                                                                                                                                                                        5.Санитарная безопасность: приобретение оборудования и инвентаря для пищеблоков: Сапоговская СОШ-136,0, Опытненская СОШ-93,0, Росток-89,0, Красноозерная ООШ-18,0;                                                                                                                              6.Приобретение школьной мебели: Доможаковская СОШ-23,05, У-Бюрская СОШ-70,0, Чарковская СОШИ-599,99 (интернат), Сапоговская СОШ-58,0, У-А СОШ-282,39, Красноозерная ООШ-45,85;                                                                                                                                           7.Ремонт канализации, ХВС: Чарковская СОШИ-575,13, Весенненская СОШ-585,97, У-А СОШ-941,64;                                                                                           8.Ремонт отопления: Опытненская СОШ-2009,35, Сапоговская СОШ-286,73, Московская СОШ-501,13, Калининская СОШ-78,81, Чапаевская СОШ-106,15, Чарковская СОШ-99,98;                                                                                                                                                                                                                                                                                                                                                                                                                  9.Приобретение расширит.бака: Сапоговская СОШ-47,04;                                                                                                                                                               10.Приобретение игр.оборуд.на участок: У-Бюрская СОШ-200,0 ;                                                                                                                                 11.Приобретение огнетушителей: Калининская СОШ-5,4;                                                                                                                                                        12.Ремонт крылец: У-А СОШ-549,28;</t>
    </r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</si>
  <si>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- 12124,78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из них: оплата труда-10768,90 услуги связи-61,62,транспортные услуги-3,0;услуги по содержанию имущества-333,25; прочие услуги- 435,48, прочие расходы-7,21, приобретение мат.запасов-194,52, приобретение основных средств-320,8.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</si>
  <si>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деятельности подведомственных учреждений (Центр поддержки одаренных детей, Центр поддержки детей с ограниченными возможностями) - 1037,10, </t>
    </r>
    <r>
      <rPr>
        <sz val="14"/>
        <rFont val="Times New Roman"/>
        <family val="1"/>
        <charset val="204"/>
      </rPr>
      <t>из них: оплата труда-600,9, услуги связи-1,33, услуги по сод.имущества-91,06, прочие услуги- 29,8, приобретение основных средств-308,2; приобретение мат.запасов-5,81.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</si>
  <si>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- 32323,82,</t>
    </r>
    <r>
      <rPr>
        <sz val="14"/>
        <rFont val="Times New Roman"/>
        <family val="1"/>
        <charset val="204"/>
      </rPr>
      <t xml:space="preserve"> из них: оплата труда-28540,41, услуги связи-114,57, транспортные услуги-6,7;коммунальные услуги-529,71,услуги по сод.имущества- 1096,44, прочие услуги-1301,77, прочие расходы-8,96; приобретение основных средств-185,40;  приобретение мат.запасов-539,86.</t>
    </r>
  </si>
  <si>
    <r>
      <t xml:space="preserve">Региональный проект Республики Хакасия "Современная школа"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1.Оснащение образовательных организаций оборудованием, средствами обучения и воспитания - 4434,6, из них: 4346,35 (ФБ); 43,90(РХ); 44,35 (МБ):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Приобретение орг.техники для каб. точка роста (МБОУ "Калининская СОШ"-2217,30, МБОУ "Красноозерная ООШ"-2217,30)</t>
    </r>
  </si>
  <si>
    <r>
      <t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 1.</t>
    </r>
    <r>
      <rPr>
        <b/>
        <i/>
        <sz val="14"/>
        <rFont val="Times New Roman"/>
        <family val="1"/>
        <charset val="204"/>
      </rPr>
      <t xml:space="preserve">Обеспечение оснащения общеобразовательных организаций государственными символами Российской Федерации  - 947,00, из них: 928,14 (ФБ); 9,38 (РХ); 9,48 (МБ)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 Приобретение флагов и гербов: МБОУ "Сапоговская СОШ"-94,7, МБОУ "Опытненская СОШ"-94,7, МБОУ "Чапаевская СОШ"-94,7, МБОУ "Усть-Абаканская СОШ им. М.Е. Орлова"-284,1, МБОУ "Райковская СОШ им. Н.И. Носова"-94,7,      МБОУ "Доможаковская СОШ им. Н.Г. Доможакова"-94,7, МБОУ "Калининская СОШ"-94,7, МБОУ "Расцветская СОШ"-94,7.</t>
    </r>
  </si>
  <si>
    <r>
      <rPr>
        <b/>
        <sz val="14"/>
        <rFont val="Times New Roman"/>
        <family val="1"/>
        <charset val="204"/>
      </rPr>
      <t>Мероприятия в сфере поддержки малого и среднего предпринимательства - 3169,6, в том числе:                                                               1703,2 (МБ), 1466,4 (РХ), из них: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Проведение районного конкурса "Предприниматель 2022 года"- 173,2;                                                                                      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 субъектам молодежного предпринимательства - 1496,4, из них 1466,4 (РХ), 30,0 (МБ);                                                                                                    ^Оказание финансовой поддержки  субъектам малого и среднего предпринимательства в виде предоставления грантов в форме субсидий -  1500,00.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</si>
  <si>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- 158940,87,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Расходы на выполнения муниципального задания из средств районного бюджета: оплата труда - 55647,13, услуги связи-248,47, транспортные услуги-2901,44, коммунальные услуги-53065,86, аренда-197,69, услуги по сод.имущества-12427,58; прочие услуги-5193,37, прочие расходы-11584,88, приобретение основных средств-770,17, приобретение мат.запасов-16904,28.</t>
    </r>
  </si>
  <si>
    <r>
      <rPr>
        <b/>
        <i/>
        <sz val="14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- 3753,40 (РХ), 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                               </t>
    </r>
    <r>
      <rPr>
        <sz val="14"/>
        <rFont val="Times New Roman"/>
        <family val="1"/>
        <charset val="204"/>
      </rPr>
      <t xml:space="preserve">^Капитальный ремонт кровли МБУДО "Усть-Абаканская СШ" - 3 329,8;                                                                                                                                                    ^Работы по капитальному ремонту покрытия трибун д/зрителей на стадионе МБУДО "Усть-Абаканская СШ" - 423,6. </t>
    </r>
  </si>
  <si>
    <r>
      <rPr>
        <b/>
        <i/>
        <sz val="14"/>
        <rFont val="Times New Roman"/>
        <family val="1"/>
        <charset val="204"/>
      </rPr>
      <t xml:space="preserve">4. Создание условий для занятий физической культурой и спортом - 601,32, </t>
    </r>
    <r>
      <rPr>
        <sz val="14"/>
        <rFont val="Times New Roman"/>
        <family val="1"/>
        <charset val="204"/>
      </rPr>
      <t xml:space="preserve">в том числе:     </t>
    </r>
    <r>
      <rPr>
        <b/>
        <i/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1.Зеркала в зал гиревого спорта -24,48;                                                                                                                                                                              2.Резиновые покрытия-352,7;                                                                                                                                                                                                                    3.Заградительные сетки-85,99;                                                                                                                                                                                               4. Мячи волейбольные-94,05;                                                                                                                                                                                                                                          5. Услуги крытой хоккейной площадки-44,1.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</si>
  <si>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Мероприятия в сфере физической культуры и спорта - 148,80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Первенство СФО по боксу  г. Междуреченск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                                                                                                 4. Участие в тур.по хоккею с мячом(гостиница, суточные)-9,05;                                                                                                                                                                   5.Спортивное ориентирование - 16,14 (ком.расходы, суточные);                                                                                                                                                                                   6. Участие в межрегиональном тур-ре по баскетболу-36,53;                                                                                                                                                                                    7. Турнир по хоккею с мячом памяти ЗМС М.М.Лещинского (Абакан-Красноярск (проезд, проживание)-8,30;                                                                                                                                 8. Краевой турнир по боксу в Шарыпово- 9,10;                                                                                                                                                                                                      9. Краевой турник по хоккею с мячом  - "Кубок Енисея"- 11,60;                                                                                                                                                                                   10. Участие в соревнованиях  - 4,21;                                                                                                                                                                                         Ост-к - 29,47.</t>
    </r>
  </si>
  <si>
    <r>
      <rPr>
        <b/>
        <i/>
        <sz val="14"/>
        <rFont val="Times New Roman"/>
        <family val="1"/>
        <charset val="204"/>
      </rPr>
      <t>3.Капитальный ремонт объектов муниципальной собственности- 76,60,</t>
    </r>
    <r>
      <rPr>
        <sz val="14"/>
        <rFont val="Times New Roman"/>
        <family val="1"/>
        <charset val="204"/>
      </rPr>
      <t xml:space="preserve">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^Ремонт кровли - 67,95;                                                                                                                                                                                                    ^Ремонт трибун - 8,65. 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</si>
  <si>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11553,02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- 616,38,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- 48,83;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района( аал Чарков - аал Ах-Хол-аал Майский; Подъезд к аал Бейка; аал Чарков - аал Уйбат) - 276,74;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Ильича, аал Доможаков - аал Трояков , аал Райков - аал Баинов ) - 50,83;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</si>
  <si>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2.Осуществление органами местного самоуправления государственных полномочий в области охраны труда -                                   648,6 (РХ).</t>
  </si>
  <si>
    <r>
      <rPr>
        <b/>
        <i/>
        <sz val="14"/>
        <rFont val="Times New Roman"/>
        <family val="1"/>
        <charset val="204"/>
      </rPr>
      <t xml:space="preserve">2.Реализация мероприятий по развитию общеобразовательных организаций (за счет средств целевой безвозмездной помощи)- 2000,00 (РХ)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1.Ремонт каб.: Калининская СОШ-778,33, Красноозерная ООШ-713,99;                                                                                                                                          2. Приобретение уч.мебели: Калининская СОШ-189,73, Красноозерная ООШ-213,53;                                                                                               3. Приобретение табличек: Калининская СОШ-31,94, Красноозерная ООШ-16,01;                                                                                                                                                4. Приобретение жалюзи: Красноозерная ООШ-56,47.</t>
    </r>
  </si>
  <si>
    <r>
      <rPr>
        <b/>
        <i/>
        <sz val="14"/>
        <rFont val="Times New Roman"/>
        <family val="1"/>
        <charset val="204"/>
      </rPr>
      <t xml:space="preserve">3.Реализация мероприятий по развитию общеобразовательных организаций - 40,82: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Ремонт каб.: Калининская СОШ-15,88, Красноозерная ООШ-14,58;                                                                                                                                                           2. Приобретение уч.мебели: Калининская СОШ-3,87, Красноозерная ООШ-4,36;                                                                                                             3. Приобретение табличек: Калининская СОШ-0,65, Красноозерная ООШ-0,33;                                                                                                                                   4. Приобретение жалюзи: Красноозерная ООШ-1,15.</t>
    </r>
  </si>
  <si>
    <t xml:space="preserve">21. Коробка п/конфеты (82 шт) (9 мая) —24,6;                                                                                                                                                                    22. Квест «Наша победа» —8,4;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Продуктовая корзина на 9 мая —17,03;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Автопробег Дня ВОВ —27,61;                                                                                                                                                                                          25. Фестиваль "Под алым парусом Хакасии"-1299,96;                                                                                                                                                                   26. Квест "Дети войны"-4,9;                                                                                                                                                                                                                                      27. День ВМФ-23,2;                                                                                                                                                                                                                           28.Мероприятия ко Дню окончания II мир. войны- 8,0;                                                                                                                                                                                                            29. Мастер-класс "Декор кухонные лопатки"+"День лошади"-5,21.                                                                                                                                                                                  30. День флага -10,6;                                                                                                                                                                                                                                     31. Квест "История моего поселка"-9,25.                                                                                                                                                                                                                        32. Приобретение шкафов д/музейных экспонатов - 119,42;                                                                                                                                                                 33. Юбилей труж. тыла (цветы) - 9,00;                                                                                                                                                                                                               34. День неизвестного солдата, героев отеч. (корз. живых цв., гвоздики) - 14,00;                                                                                                                                  35. Елка с иголки и "Новогоднее чудо" (подарки)  - 50,25;                                                                                                                                                                           36. Текущий ремонт э/снабж (264,0), системы отопления (258,32)- 522,32;                                                                                                                                 37. Память жертв политич. репрессий - 9,00;                                                                                                                                                                                                    38. Пятнадцатый форум активной молодежи У-Аб-го ра-на - 6,0;                                                                                                                                                           39. Мероприятие ко дню Единства - 5,00;                                                                                                                                                                                     40. Конкурс "Веселый дракончик (сувениры) - 19,30;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</si>
  <si>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41. Районный конкурс-выставка "Поздравь деда мороза" (сувениры) - (10,89-7,45)=3,44;                                                                                                        42.Мероприятие "Подкова на счастье"- 1,5;                                                                                                                                                                                                       43. Мастер-класс "Декор кух. лопатки"-2,5;                                                                                                                                                                                                                                                 44. Память жертв политич. репрессий, зажжение вечн.огня (баллон 2шт. 50 л. газ)а на мемориале "Вечная слава" (митинг) - 2,56; Остаток -  0,04. </t>
  </si>
  <si>
    <t>18. Ростовая кукла-40,00;                                                                                                                                                                                                                                                                19. Участие в междунар. фестивале творч. коллект.-10,6;                                                                                                                                                                                                                   20. Конкурс "Золотые руки наших мастеров"-26,04;                                                                                                                                                                                                                             21. Участ. в респ. конкурсе-4,6;                                                                                                                                                                                                                         22. Выставка-конкурс "Веселое рождество"-13,11;                                                                                                                                                                                                                23. Елка главы (фейерверк, баннер...)-76,6;                                                                                                                                                                                                                                                                           24. Мероприятия "Золотые ворота" - 14,97.</t>
  </si>
  <si>
    <r>
      <t xml:space="preserve">7. Оказание адресной финансовой поддержки спортивным организациям, осуществляющим подготовку спортивного резерва - 510,2, из них  10,2 (МБ), 500,0(РХ).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^Спортинвентарь(табло электронное,гантели,ролики,штанги,перчатки бокс, мешок бокс,прочее) - 510,2.</t>
    </r>
  </si>
  <si>
    <r>
      <rPr>
        <b/>
        <sz val="14"/>
        <rFont val="Times New Roman"/>
        <family val="1"/>
        <charset val="204"/>
      </rPr>
      <t xml:space="preserve">Развитие рынка труда (кадровый потенциал) на сельских территориях - 157,9 (МБ), из них: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^организационный взнос на соревнования сельских конников - 30,0;                                                                                                                                                    ^бочки под мусор-3,9;                                                                                                                                                                                                                                      ^рамочки и грамоты-4,0;                                                                                                                                                                                                                          ^призы в денежной форме по труд.соревнованиям-120,0.                                                                                                                                              </t>
    </r>
  </si>
  <si>
    <r>
      <t xml:space="preserve">Реализация мер по охране окружающей среды- 19228,4 (МБ),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1.Природоохранные мероприятия  - 19228,4 </t>
    </r>
    <r>
      <rPr>
        <i/>
        <sz val="14"/>
        <rFont val="Times New Roman"/>
        <family val="1"/>
        <charset val="204"/>
      </rPr>
      <t>(ликвидация свалок)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</si>
  <si>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- 58750,13 (МБ),</t>
    </r>
    <r>
      <rPr>
        <sz val="14"/>
        <rFont val="Times New Roman"/>
        <family val="1"/>
        <charset val="204"/>
      </rPr>
      <t xml:space="preserve"> из них: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- 37282,57, услуги связи - 65,93, транспортные услуги - 239,01, коммунальные услуги - 12644,54, услуги по сод. имущества - 2137,95, прочие услуги - 731,41, прочие расходы - 3701,24, приобретение основных средств - 82,67, приобретение мат.запасов - 1864,81.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</si>
  <si>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7967,0</t>
    </r>
    <r>
      <rPr>
        <sz val="14"/>
        <rFont val="Times New Roman"/>
        <family val="1"/>
        <charset val="204"/>
      </rPr>
      <t xml:space="preserve">, в том числе:                                  </t>
    </r>
    <r>
      <rPr>
        <b/>
        <sz val="14"/>
        <rFont val="Times New Roman"/>
        <family val="1"/>
        <charset val="204"/>
      </rPr>
      <t xml:space="preserve">6864,6 (МБ), 11,1 (РХ), 1091,3 (ФБ)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- 3847,6 (МБ),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- 124,00;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- 165,3;                                                                                                                                                                ^тех.присоединение а.Доможаков - 19,3;                                                                                                                                                                                                      ^тех.присоединение п.Тепличный  - 120,9;                                                                                                                                                                                 ^ПСД Тепличный - 200,0;                                                                                                                                                                                                     ^экспертиза ПСД а.Доможаков - 182,6;                                                                                                                                                                                      ^ ПСД а.Доможаков - 220,0;                                                                                                                                                                                                             ^ ПСД с.Солнечное - 220,0;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гос.экспертиза на строит.п.Тепличный-183,4;                                                                                                                                                                                                  ^ гос.экспертиза на строит.с.Солнечное-183,4;                                                                                                                                                                                             ^ тех.присоединение с.В-Биджа-120,9;                                                                                                                                                                                                          ^ тех.присоединение с.Усть-Бюрь-111,8;                                                                                                                                                                                                                                                   ^ гос.эксперт.на строит. с. Усть-Бюр - 742,3;                                                                                                                                                                                                                      ^ ПСД с. Усть-Бюр - 800,0;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</si>
  <si>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t>Выполнено с начала года % (гр.10/гр.6х100)</t>
  </si>
  <si>
    <r>
      <rPr>
        <b/>
        <sz val="15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5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</si>
  <si>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rPr>
        <b/>
        <sz val="15"/>
        <rFont val="Times New Roman"/>
        <family val="1"/>
        <charset val="204"/>
      </rPr>
      <t>3.Мероприятия в сфере развития земельно-имущественных отношений - 127,4 (МБ)</t>
    </r>
    <r>
      <rPr>
        <sz val="15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- 45,0;                                                                 ^Приобретение земельных  участков в муниципальную собственность -82,4.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</si>
  <si>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- 52,0 (МБ)</t>
    </r>
    <r>
      <rPr>
        <sz val="15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участков- 52,0.</t>
    </r>
  </si>
  <si>
    <r>
      <t xml:space="preserve">4.Подготовка документов территориального планирования и правил землепользования и застройки - 723,34 (РХ),  в том числе: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^Кредиторская задолженность на 2023год: научно-исследовательские работы по разработке СТП Усть-Абаканского района РХ-723,34</t>
    </r>
  </si>
  <si>
    <r>
      <t>5.Обеспечение обслуживания, содержания и распоряжения муниципальной собственностью - 44,92 (МБ)</t>
    </r>
    <r>
      <rPr>
        <sz val="15"/>
        <rFont val="Times New Roman"/>
        <family val="1"/>
        <charset val="204"/>
      </rPr>
      <t>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- 36,92;                                                                                                                                                                    ^Охрана муниципального имущества - 8,0.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</si>
  <si>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1.Обеспечение деятельности УИО - 4757,54(МБ)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- 3497,0;                                                                                                                                                                       2.Начисления на выплаты по оплате труда - 697,20;                                                                                                                                                                3.Услуги связи -54,59;                                                                                                                                                                                              4.Работы, услуги по содержанию имущества -62,5 ;                                                                                                                                                                                5.Прочие работы, услуги - 136,49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6.Приобретение ГСМ - 103,4;                                                                                                                                                                         7.Приобретение материальных запасов -81,33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8.Коммунальные расходы- 70,03                                                                                                                                                                                      9.Командировочные расходы - 55,0;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</si>
  <si>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1 квартал 2024 год.</t>
  </si>
  <si>
    <r>
      <t xml:space="preserve">Реализация мер по охране окружающей среды- 1448,8 (МБ),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1.Природоохранные мероприятия  - 1448,8 </t>
    </r>
    <r>
      <rPr>
        <i/>
        <sz val="15"/>
        <rFont val="Times New Roman"/>
        <family val="1"/>
        <charset val="204"/>
      </rPr>
      <t>(ликвидация свалок)</t>
    </r>
  </si>
  <si>
    <r>
      <rPr>
        <b/>
        <i/>
        <sz val="15"/>
        <rFont val="Times New Roman"/>
        <family val="1"/>
        <charset val="204"/>
      </rPr>
      <t>2.Содержание объекта по утилизации биологических отходов - 49,4 (МБ)</t>
    </r>
    <r>
      <rPr>
        <sz val="15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</si>
  <si>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rPr>
        <b/>
        <i/>
        <sz val="15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- 1422,0 (РХ), из них: </t>
    </r>
    <r>
      <rPr>
        <sz val="15"/>
        <rFont val="Times New Roman"/>
        <family val="1"/>
        <charset val="204"/>
      </rPr>
      <t>заработная плата – 98,8; больничный лист-2,4; начисления на выплаты по оплате труда – 29,8 уничтожение биологических отходов путем сжигания в спец.печах - 1287,2; запчасти - 1,2; предрейсовый осмотр водителя-0,4;  ремонт тепловой пушки- 2,2.</t>
    </r>
  </si>
  <si>
    <r>
      <t>Реализация проектов комплексного развития сельских территорий  -532,5 (МБ), из них:                                                                                                                                                          1.</t>
    </r>
    <r>
      <rPr>
        <b/>
        <i/>
        <sz val="15"/>
        <rFont val="Times New Roman"/>
        <family val="1"/>
        <charset val="204"/>
      </rPr>
      <t>Иные межбюджетные трансферты на мероприятия по формированию современного облика сельских территорий, направленных на создание и развитие инфраструктуры в сельской местности- 532,5 (МБ)</t>
    </r>
  </si>
  <si>
    <r>
      <t>Обеспечение деятельности органов местного самоуправления - 3920,0, в том числе: 2498,0 (МБ), 1422,0 (РХ),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- 2448,6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1600,2;                                                                                                                                                                                                                                                                       2.Социальное пособие - 10,3;                                                                                                                                                                                                                                                                                                                                                                                                                                                                                      3.Начисления на выплаты по оплате труда – 339,7;                                                                                                                                                                         4.Услуги связи – 30,3;                                                                                                                                                                                                                                                                                                                                                                                                         5.Работы, услуги по содержанию имущества –8,3;                                                                                                                                                                      6.Страхование -3,0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7.Увеличение стоимости материальных запасов –177,0;                                                                                                                                                         8.Прочие расходы –278,9;                                                                                                                                                                                                                                          9. Пеня -0,9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</si>
  <si>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t xml:space="preserve">2.Обеспечение комплексного развития сельских территорий (строительство (приобретение) жилья гражданами, которым предоставлены целевые социальные выплаты)(в том числе софинансирование с республиканским бюджетом)-403,3, </t>
    </r>
    <r>
      <rPr>
        <sz val="15"/>
        <rFont val="Times New Roman"/>
        <family val="1"/>
        <charset val="204"/>
      </rPr>
      <t xml:space="preserve">в том числе: </t>
    </r>
    <r>
      <rPr>
        <b/>
        <sz val="15"/>
        <rFont val="Times New Roman"/>
        <family val="1"/>
        <charset val="204"/>
      </rPr>
      <t>312,9</t>
    </r>
    <r>
      <rPr>
        <b/>
        <i/>
        <sz val="15"/>
        <rFont val="Times New Roman"/>
        <family val="1"/>
        <charset val="204"/>
      </rPr>
      <t>(МБ), 0,9(РХ), 89,5(ФБ)</t>
    </r>
    <r>
      <rPr>
        <sz val="15"/>
        <rFont val="Times New Roman"/>
        <family val="1"/>
        <charset val="204"/>
      </rPr>
      <t xml:space="preserve"> из них: 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>Получен сертификат на покупку жилья (КовальчукЯ.А.) кредиторка 2023г.</t>
    </r>
  </si>
  <si>
    <r>
      <rPr>
        <b/>
        <sz val="15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5"/>
        <rFont val="Times New Roman"/>
        <family val="1"/>
        <charset val="204"/>
      </rPr>
      <t>-</t>
    </r>
    <r>
      <rPr>
        <b/>
        <sz val="15"/>
        <rFont val="Times New Roman"/>
        <family val="1"/>
        <charset val="204"/>
      </rPr>
      <t xml:space="preserve"> 404,0</t>
    </r>
    <r>
      <rPr>
        <sz val="15"/>
        <rFont val="Times New Roman"/>
        <family val="1"/>
        <charset val="204"/>
      </rPr>
      <t xml:space="preserve">, в том числе: </t>
    </r>
    <r>
      <rPr>
        <b/>
        <sz val="15"/>
        <rFont val="Times New Roman"/>
        <family val="1"/>
        <charset val="204"/>
      </rPr>
      <t xml:space="preserve">313,6 (МБ), 0,9 (РХ), 89,5 (ФБ)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- 0,7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^земельный налог - 0,7;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</si>
  <si>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t xml:space="preserve">Мероприятия в сфере поддержки малого и среднего предпринимательства .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^Проведение конкурса на получение гранта запланировано на 2 квартал 2024 года;                                                                                                  ^Проведение районного конкурса "Предприниматель 2023 года" запланировано на 2 квартал 2024 года.</t>
    </r>
  </si>
  <si>
    <r>
      <rPr>
        <b/>
        <sz val="15"/>
        <rFont val="Times New Roman"/>
        <family val="1"/>
        <charset val="204"/>
      </rPr>
      <t>Мероприятия по повышению безопасности дорожного движения - 0,5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^Поощрения(грамоты,призы)-0,5.                                                                                                                                                                               </t>
    </r>
  </si>
  <si>
    <r>
      <t xml:space="preserve">Укрепление безопасности и общественного порядка в Усть-Абаканском районе -1,5 (МБ),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^Оплата госпошлины для получения паспорта для лиц, находящихся в тяжелой жизненной ситуации - 1,5.</t>
    </r>
  </si>
  <si>
    <r>
      <rPr>
        <b/>
        <sz val="15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2024 года.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</si>
  <si>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                                  1385,1 (МБ).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- 274,0 (МБ)</t>
    </r>
    <r>
      <rPr>
        <b/>
        <sz val="15"/>
        <rFont val="Times New Roman"/>
        <family val="1"/>
        <charset val="204"/>
      </rPr>
      <t xml:space="preserve">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^Проведены мероприятия по ликвидации ЧС, связанному с ЗУД в а. Сапогов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</si>
  <si>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Выдано 2 Свидетельства о праве на получение социальной выплаты на приобретение жилого помещения или создание объекта индивидуального строительства, на общую сумму 4 273 731,00 руб. В 1 квартале 2024 оплачено 1 свидетельства  о праве на получение социальной выплаты на приобретение жилого помещения или создание объекта индивидуального строительства на сумму 1 714 608,00 руб. </t>
  </si>
  <si>
    <t>2.  Экспертиза сметной стоимости (субсидия РБ) - 255,7.</t>
  </si>
  <si>
    <r>
      <rPr>
        <b/>
        <sz val="15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5"/>
        <rFont val="Times New Roman"/>
        <family val="1"/>
        <charset val="204"/>
      </rPr>
      <t xml:space="preserve"> </t>
    </r>
    <r>
      <rPr>
        <b/>
        <i/>
        <sz val="15"/>
        <rFont val="Times New Roman"/>
        <family val="1"/>
        <charset val="204"/>
      </rPr>
      <t>- 4285,5 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заработная плата - 3264,8; социальные пособия и компенсации персоналу - 6,21; начисления на выплаты по оплате труда - 613,4; услуги связи - 28,83; коммунальные услуги- 109,8; услуги по содержанию имущества - 5,15; прочие работы, услуги - 177,6; увеличение стоимости ГСМ - 52,0; увеличение стоимости мат.запасов - 24,75; увеличение стоимости мягкого инвентаря - 1,77; закупка товаров, работ, услуг в сфере информационно-коммуникационных технологий-0,41; прочие налоги и сборы -0,78.</t>
    </r>
  </si>
  <si>
    <t>2.Осуществление органами местного самоуправления государственных полномочий в области охраны труда -                                   120,6 (РХ).</t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</si>
  <si>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в области улучшений условий и охраны труда - 135,3 (МБ), из них: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^Приобретение специальной одежды  -106,74;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обучения по охране труда -9,65;                                                                                                                                                                                                 ^Проведение мед.осмотров -10,11;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- 5,5;                                                                                                         ^Приорбретение смывающих и обеззараживающих средств (крем, мыло) -3,3.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</si>
  <si>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- 35476,20 (РХ)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- 35476,20.                                                                    </t>
    </r>
  </si>
  <si>
    <r>
      <rPr>
        <b/>
        <sz val="15"/>
        <rFont val="Times New Roman"/>
        <family val="1"/>
        <charset val="204"/>
      </rPr>
      <t>1. Осуществление муниципальных функций в финансовой сфере - 4297,2 (МБ), в том числе: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 xml:space="preserve">Обеспечение деятельности УФиЭ, в том числе: заработная плата – 3155,2; начисления на выплаты по оплате труда – 598,9; пособие по врем.нетрудоспособности-9,7; услуги связи- 34,2; работы, услуги по содержанию имущества – 17,0; прочие работы, услуги – 452,7; увеличение стоимости материальных запасов –29,5.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</si>
  <si>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5"/>
        <rFont val="Times New Roman"/>
        <family val="1"/>
        <charset val="204"/>
      </rPr>
      <t>3. Реализация государственной политики в сфере государственных закупок - 2242,8 (МБ),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5"/>
        <rFont val="Times New Roman"/>
        <family val="1"/>
        <charset val="204"/>
      </rPr>
      <t>^</t>
    </r>
    <r>
      <rPr>
        <sz val="15"/>
        <rFont val="Times New Roman"/>
        <family val="1"/>
        <charset val="204"/>
      </rPr>
      <t>Обеспечение деятельности МКУ "Усть-Абаканская районная правовая служба", в том числе: заработная плата - 1827,3; начисления на выплаты по оплате труда – 354,6; услуги связи – 16,5;  прочие работы, услуги – 6,9; увеличение стоимости материальных запасов – 2,9; увеличение стоимости основных средств – 8,8; ГСМ-24,3; техосмотр-1,5.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</si>
  <si>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- 13,0 (РХ)</t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</si>
  <si>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- 148,8 (РХ).    </t>
  </si>
  <si>
    <r>
      <rPr>
        <b/>
        <sz val="15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- 297,8 (РХ), </t>
    </r>
    <r>
      <rPr>
        <sz val="15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- 136,0 (РХ)      </t>
    </r>
  </si>
  <si>
    <r>
      <t xml:space="preserve">Региональный проект «Культурная среда»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Техническое оснащение региональных и муниципальных музеев (в том числе софинансирование с республиканским  бюджетом)- 257,7,</t>
    </r>
    <r>
      <rPr>
        <sz val="15"/>
        <rFont val="Times New Roman"/>
        <family val="1"/>
        <charset val="204"/>
      </rPr>
      <t>в том числе</t>
    </r>
    <r>
      <rPr>
        <b/>
        <i/>
        <sz val="15"/>
        <rFont val="Times New Roman"/>
        <family val="1"/>
        <charset val="204"/>
      </rPr>
      <t>: 5,2 (МБ), 2,5 (РХ), 250,0 (ФБ) из них:</t>
    </r>
    <r>
      <rPr>
        <b/>
        <sz val="15"/>
        <rFont val="Times New Roman"/>
        <family val="1"/>
        <charset val="204"/>
      </rPr>
      <t xml:space="preserve">
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</si>
  <si>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Мероприятия в сфере физической культуры и спорта - 227,03 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Соревн. п/хоккею с/мячом "Плетеный мяч" (г. Красноярск, с 10 по 17 янв.2024) - 12,55 (проезд,проживание);                                                                                                   2. Соревн. п/хоккею с/мячом "Плетеный мяч" (г. Новосибирск, с 02 по 14 янв.2024) - 21,41 (проезд,проживание);                                                                                                                3. Соревн. п/хоккею (г. Красноярск, с 02 по 04 фев.2024) - 8,1 (проезд,проживание);                                                                                                                4. Соревн. п/боксу (г. Кемерово, с 24 по 28 янв.2024) - 8,1 (проезд,проживание);                                                                                    5.  Первенство СФО п/спорт.борьбе (г. Кызыл с 09 по11 фев. 2024) -8,6 (проезд,проживание);                                                                                                                     6. Первенство п/боксу (г. Абаза с 07 по 11 мар.2024) - 8,94 (проезд, проживание);                                                                                                                                      7. Межрег-ые соревн. п/баск-лу (г. Ачинск с20 по 25 янв.2024) - 11,00 (проезд, проживание);                                                                                                                            8. Уч-ие в Фест-ле единоборств "Всерос. тур-р п/косики кратэ-до (Алтайский край, г. Барнаул с 22 по 27 фев.2024)-8,90 (проезд,проживание);                                                                                                                                                                              9. Уч-ие в Фест-ле ГТО с 22 по 23 мар.2024 (15 чел) - 3,9 (суточные, проживание);                                                                                                          10. Уч-ие в межрег-ом тур-ре п/баскетболу "Лина Сибири" (г. Ачинск с 09 по 13 мар.2024) - 15,39 (Проезд, проживание).                                                                                                                                                                                           Остаток на счете - 120,14.</t>
    </r>
  </si>
  <si>
    <r>
      <t>Обеспечение развития отрасли физической культуры и спорта.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</t>
    </r>
    <r>
      <rPr>
        <sz val="15"/>
        <rFont val="Times New Roman"/>
        <family val="1"/>
        <charset val="204"/>
      </rPr>
      <t>.</t>
    </r>
    <r>
      <rPr>
        <b/>
        <i/>
        <sz val="15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-7905,88 (МБ)</t>
    </r>
    <r>
      <rPr>
        <sz val="15"/>
        <rFont val="Times New Roman"/>
        <family val="1"/>
        <charset val="204"/>
      </rPr>
      <t>, в том числе: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1. Заработная плата (ст.211) — 5507,4;                                                                                                                                                                                2. Начисления на выплаты по оплате труда (ст.213) — 1301,61;                                                                                                                                                      3. Услуги связи (ст.221) — 1,22;                                                                                                                                                                                                                           4. Коммунальные услуги (ст.223) — 177,72;                                                                                                                                                                     5. Услуги по содержанию имущества (ст.225) — 48,89;                                                                                                                                                                            6. Прочие работы, услуги (ст.226) — 125,65;                                                                                                                                                  7. Соц. пособия (Б. листы) (ст. 266)  - 9,38;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Увеличение стоимости прочих оборотных запасов (материалов)(ст.346) — 14,43 (хоз.товары);                                                                                                                                                                      9. Увеличение стоимости основных средств (ст.310) — 55,19;                                                                                                                         11.  Прочие расходы (ст.297) — 0,3;                                                                                                                                                      Остаток на счете- 664,09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</si>
  <si>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- 0,0067(МБ)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^Пеня по земельному налогу под строительство д/с в д.Чапаево.</t>
    </r>
  </si>
  <si>
    <r>
      <rPr>
        <b/>
        <i/>
        <sz val="15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- 10,0 (МБ),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здания Чапаевская СОШ.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</si>
  <si>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Мероприятия, направленные на патриотическое воспитание граждан - 131,5 (МБ), </t>
    </r>
    <r>
      <rPr>
        <sz val="15"/>
        <rFont val="Times New Roman"/>
        <family val="1"/>
        <charset val="204"/>
      </rPr>
      <t>из них:</t>
    </r>
    <r>
      <rPr>
        <i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1.Открытое первенство Усть-Абаканского района по военно-спортивному многоборью "Юнармейцы в юбках" - 33,0;                                                                                                                                                                                                                                        2. Приобретение медалей и кубков - 66,0;                                                                                                                                                                                                           3. Приобретение канц.товаров - 32,5.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</si>
  <si>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- 891,66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труда-864,46, приобретение основных средств - 27,2.</t>
    </r>
  </si>
  <si>
    <r>
      <rPr>
        <b/>
        <sz val="15"/>
        <rFont val="Times New Roman"/>
        <family val="1"/>
        <charset val="204"/>
      </rPr>
      <t>Развитие системы дополнительного образования детей: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- 3916,61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из них: оплата труда-3754,45, услуги связи-10,09, коммунальные услуги -99,49 , услуги по сод.имущества - 16,82, прочие услуги-4,84, прочие расходы-0,77, приобретение мат.запасов-30,15.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</si>
  <si>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3.Мероприятия по развитию дошкольного образования - 580,7 (МБ),</t>
    </r>
    <r>
      <rPr>
        <sz val="15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вентиляции в пищеблоке д/с Звездочка - 110,41;                                                                                   ^Испытание пожарных кранов и лестниц,огражд.кровли: д/с Ромашка-8,8;                                                                                            ^Ремонт электрооборудования в группах д/с Аленушка - 281,49;                                                                                                           ^Приобретение мебели в группу д/м Звездочка - 30,0;                                                                                                                    ^Приобретениие оборудования на участок д/с Звездочка - 150,0.</t>
    </r>
  </si>
  <si>
    <r>
      <rPr>
        <b/>
        <i/>
        <sz val="15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- 32119,16 (РХ)</t>
    </r>
    <r>
      <rPr>
        <b/>
        <sz val="15"/>
        <rFont val="Times New Roman"/>
        <family val="1"/>
        <charset val="204"/>
      </rPr>
      <t xml:space="preserve">: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труда-31 330,14, услуги связи-7,94, прочие услуги- 781,08.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</si>
  <si>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- 48966,53 (МБ),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Расходы на выполнения муниципального задания из средств районного бюджета: оплата труда-14315,19, услуги связи-101,48, транспортные услуги-799,89, коммунальные услуги-19494,96, аренда-21,0,услуги по сод.имущества- 2585,53, прочие услуги-1641,93, прочие расходы-3782,69, приобретение основных средств-137,54, приобретение мат.запасов-6086,32.</t>
    </r>
  </si>
  <si>
    <r>
      <rPr>
        <b/>
        <i/>
        <sz val="15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- 9416,25 (ФБ)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^</t>
    </r>
    <r>
      <rPr>
        <sz val="15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</si>
  <si>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- 143375,25 (РХ)</t>
    </r>
    <r>
      <rPr>
        <b/>
        <sz val="15"/>
        <rFont val="Times New Roman"/>
        <family val="1"/>
        <charset val="204"/>
      </rPr>
      <t xml:space="preserve">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труда- 139641,1; услуги связи- 28,86; прочие услуги-3195,58;  приобретение мат.запасов - 509,71  </t>
    </r>
  </si>
  <si>
    <r>
      <rPr>
        <b/>
        <sz val="15"/>
        <rFont val="Times New Roman"/>
        <family val="1"/>
        <charset val="204"/>
      </rPr>
      <t>Обеспечение условий развития сферы образования: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- 2667,4 (МБ)</t>
    </r>
    <r>
      <rPr>
        <i/>
        <sz val="15"/>
        <rFont val="Times New Roman"/>
        <family val="1"/>
        <charset val="204"/>
      </rPr>
      <t xml:space="preserve">, </t>
    </r>
    <r>
      <rPr>
        <sz val="15"/>
        <rFont val="Times New Roman"/>
        <family val="1"/>
        <charset val="204"/>
      </rPr>
      <t xml:space="preserve">из них: оплата труда-2421,20, услуги связи-9,82, услуги по сод.имущества-3,06, прочие услуги- 209,50, приобретение мат.запасов-23,82.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</si>
  <si>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- 7126,56 (МБ),</t>
    </r>
    <r>
      <rPr>
        <sz val="15"/>
        <rFont val="Times New Roman"/>
        <family val="1"/>
        <charset val="204"/>
      </rPr>
      <t xml:space="preserve"> из них: оплата труда-6347,27, услуги связи-22,65, коммунальные услуги-244,55,  услуги по сод.имущества- 69,29, прочие услуги-175,03, прочие расходы-1,45, приобретение мат.запасов-266,32. </t>
    </r>
  </si>
  <si>
    <r>
      <t xml:space="preserve"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</t>
    </r>
    <r>
      <rPr>
        <sz val="15"/>
        <rFont val="Times New Roman"/>
        <family val="1"/>
        <charset val="204"/>
      </rPr>
  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организациях- 627,53, из них 621,25 (ФБ), 6,28 (РХ)    Оплата труда советников.</t>
    </r>
  </si>
  <si>
    <r>
      <rPr>
        <b/>
        <i/>
        <sz val="15"/>
        <rFont val="Times New Roman"/>
        <family val="1"/>
        <charset val="204"/>
      </rPr>
      <t xml:space="preserve">3.Обеспечение деятельности подведомственных учреждений (Центр поддержки одаренных детей, Центр поддержки детей с ограниченными возможностями) - 280,7(МБ), </t>
    </r>
    <r>
      <rPr>
        <sz val="15"/>
        <rFont val="Times New Roman"/>
        <family val="1"/>
        <charset val="204"/>
      </rPr>
      <t>из них: оплата труда-265,7, услуги связи-2,0, прочие услуги-7,8, приобретение мат.запасов-5,2.</t>
    </r>
  </si>
  <si>
    <r>
      <rPr>
        <b/>
        <sz val="15"/>
        <rFont val="Times New Roman"/>
        <family val="1"/>
        <charset val="204"/>
      </rPr>
      <t xml:space="preserve">Развитие дошкольного образования: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5"/>
        <rFont val="Times New Roman"/>
        <family val="1"/>
        <charset val="204"/>
      </rPr>
      <t xml:space="preserve"> </t>
    </r>
    <r>
      <rPr>
        <b/>
        <i/>
        <sz val="15"/>
        <rFont val="Times New Roman"/>
        <family val="1"/>
        <charset val="204"/>
      </rPr>
      <t>- 14808,2133 (МБ),</t>
    </r>
    <r>
      <rPr>
        <sz val="15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-8106,814, услуги связи -11,132, транспортные услуги- 58,29, коммунальные услуги- 4430,937, услуги по сод.имущества -415,2403, прочие услуги- 247,764, прочие расходы- 1269,018,приобретение мат.запасов- 269,018.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</si>
  <si>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ФБ</t>
  </si>
  <si>
    <r>
      <rPr>
        <b/>
        <i/>
        <sz val="15"/>
        <rFont val="Times New Roman"/>
        <family val="1"/>
        <charset val="204"/>
      </rPr>
      <t>2. Мероприятия в области молодежной политики - 3,0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1.Встреча 3-х поколений "Без права на забвение" - 3,0.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</si>
  <si>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(МБУ культуры МРЦ) - 479,0 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1.Заработная плата (ст.211) — 330,48;                                                                                                                                                                                                              2.Начисления на выплаты по оплате труда (ст.213) — 65,96;                                                                                                                                                               3.Услуги связи (ст.221) —0,86;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(ст.225)- 20,8;                                                                                                                                                                   5.Увеличение стоимости прочих материальных запасов (ст. 346)- 15,0 (канц. товары);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Остаток на счете-45,9           </t>
    </r>
  </si>
  <si>
    <r>
      <rPr>
        <b/>
        <sz val="15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1.Органы местного самоуправления - 1513,75(МБ)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1108,27;                                                                                                                                                                          2. Начисления на выплаты по оплате труда (ст.213) — 225,25;                                                                                                                                                            3. Услуги по содержанию имущества  - 1,9;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Прочие работы и услуги (ст.226) — 138,63 ;                                                                                                                                                                                                                           5. Увеличение стоимости прочих материальных запасов (ст. 346)-38,35 (канц. товары);                                                                                                                                                                                                      6. Увелич. ст-ти ОС (ст 310)- 1,35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</si>
  <si>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2.Обеспечение деятельности подведомственных учреждений - 6061,75 (МБ), </t>
    </r>
    <r>
      <rPr>
        <sz val="15"/>
        <rFont val="Times New Roman"/>
        <family val="1"/>
        <charset val="204"/>
      </rPr>
      <t xml:space="preserve">в том числе: 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</t>
    </r>
    <r>
      <rPr>
        <sz val="15"/>
        <rFont val="Times New Roman"/>
        <family val="1"/>
        <charset val="204"/>
      </rPr>
      <t xml:space="preserve">1. Заработная плата (ст.211) —4750,03;                                                                                                                                                                                           2. Начисления на выплаты по оплате труда (ст.213) - 980,73;                                                                                                             3.Больничные листы(ст266) - 3,77;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—31,5;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-40,61;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9,26;                                                                                                                                                                                                      7. Увеличение стоимости  ГСМ (ст.343) —90,78;                                                                                                                                                                                                         8. Увеличение стоимости прочих оборотных запасов (материалов) (ст.346) — 155,07 (канц. товары).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</si>
  <si>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Обеспечение развития отрасли культуры</t>
    </r>
    <r>
      <rPr>
        <sz val="15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(РДК Дружба, ДК им.Гагарина) - 6313,2 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3421,2;                                                                                                                                                           2. Начисления на выплаты по оплате труда (ст.213) — 788,1;                                                                                                                                        3.Услуги связи (ст.221) — 13,98;                                                                                                                                                                                          4.Коммунальные услуги (ст.223) — 414,98;                                                                                                                                                                                 5. Работы, услуги по содержанию имущества (ст.225) —54,68;                                                                                                                                                                             6. Прочие работы, услуги (ст.226) — 159,89 (взнос з/уч. в семинаре-3,0; усл. ТО - 48,89; охрана -7,41; усл. мех-ка-30,63; предрейс.осмотр - 6,54; адапрт.прогр. ККТ-5,95; обслуж. сайта -8,0; ЭС "Культура" (12 мес.)-49,47) ; 7.Увеличение стоимости ГСМ (ст.343) — 49,35;                                                                                                                                                                   8. Увелич-е ст-ти строит мат-ов (ст. 344)  — 0,90;                                                                                                                                                                   9. Увеличение стоимости прочих оборотных запасов (ст.346) — 66,58 (канц. и хоз.товары);                                                                             10. Страхование (ст.227) —5,91;                                                                                                                                                                                             11. Пособие по временной нетрудоспособности (ст. 266) — 5,18;                                                                                                                                          12. Налоги, сборы  прочие (291) -1,92;                                                                                                                                                     Остаток на счете - 1330,53.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</si>
  <si>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Поддержка одаренных детей и молодежи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по поддержке и развитию культуры, искусства и архивного дела - 304,2(МБ)</t>
    </r>
    <r>
      <rPr>
        <sz val="15"/>
        <rFont val="Times New Roman"/>
        <family val="1"/>
        <charset val="204"/>
      </rPr>
      <t xml:space="preserve">, из них:                                                                              1.Гармонь -93,2;                                                                                                                                                                                                                     2. Народные костюмы - 211,00    </t>
    </r>
  </si>
  <si>
    <r>
      <rPr>
        <b/>
        <i/>
        <sz val="15"/>
        <rFont val="Times New Roman"/>
        <family val="1"/>
        <charset val="204"/>
      </rPr>
      <t>2.Мероприятия по поддержке и развитию культуры, искусства и архивного дела - 1336,9 (МБ)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1.Установка видеонаблюдения -11,94;                                                                                                                                          2. ЛитРес - 60,00;                                                                                                                                                                                        Остаток на счете - 1 264,96.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</t>
    </r>
  </si>
  <si>
    <r>
      <t xml:space="preserve">Развитие системы дополнительного образования детей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 Обеспечение деятельности подведомственных учреждений(ДШИ)- 3916,9 (МБ), </t>
    </r>
    <r>
      <rPr>
        <sz val="15"/>
        <rFont val="Times New Roman"/>
        <family val="1"/>
        <charset val="204"/>
      </rPr>
      <t xml:space="preserve">из них: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sz val="15"/>
        <rFont val="Times New Roman"/>
        <family val="1"/>
        <charset val="204"/>
      </rPr>
      <t>1. Заработная плата (ст.211) — 2309,20;                                                                                                                                                                2. Начисления на выплаты по оплате труда (ст.213) — 576,96;                                                                                                                                   3. Услуги связи (ст.221) — 3,90;                                                                                                                                                                                       4. Коммунальные услуги (ст.223) — 349,30;                                                                                                                                           5. Услуги по содержанию имущества (ст.225) — 20,29;                                                                                                                                        6. Прочие работы, услуги (ст.226) — 66,24 (услуги по охране-1,0, сопр.сайта-2,45, част.рем.кровли-62,29, пушк.карта-0,50);                                                                                                                                                                                                         7. Соц. пособия (Б. листы) (ст. 266)  - 2,4;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 Прочие расходы (ст.297) — 0,56,                                                                                                                                                       Остатки на счете-588,05.</t>
    </r>
  </si>
  <si>
    <t xml:space="preserve">6.Организация школьного питания - 2451,1 из них: 612,07(МБ), 1839,03(РХ).         </t>
  </si>
  <si>
    <r>
      <rPr>
        <b/>
        <i/>
        <sz val="15"/>
        <rFont val="Times New Roman"/>
        <family val="1"/>
        <charset val="204"/>
      </rPr>
      <t xml:space="preserve">7.Организация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5"/>
        <rFont val="Times New Roman"/>
        <family val="1"/>
        <charset val="204"/>
      </rPr>
      <t>- 8151,3</t>
    </r>
    <r>
      <rPr>
        <b/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них: </t>
    </r>
    <r>
      <rPr>
        <b/>
        <sz val="15"/>
        <rFont val="Times New Roman"/>
        <family val="1"/>
        <charset val="204"/>
      </rPr>
      <t xml:space="preserve">81,52(МБ), 806,98(РХ), 7262,8 (ФБ).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</si>
  <si>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>2.Укрепление материально-технической базы - 141,08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 мат)-41,08.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</si>
  <si>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3.Строительство универсального спортивного зала п.Усть-Абакан - 224,31 (МБ),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Стройконтроль- 39,0; строительство УСЗ - 185,31.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</si>
  <si>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4.Обеспечение деятельности подведомственных учреждений МАУ "Универсальный спортивный зал» - 1036,46 (МБ), </t>
    </r>
    <r>
      <rPr>
        <sz val="15"/>
        <rFont val="Times New Roman"/>
        <family val="1"/>
        <charset val="204"/>
      </rPr>
      <t xml:space="preserve">в том числе: 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1. Заработная плата (ст.211) — 725,71;                                                                                                                                                                     2. Начисления на выплаты по оплате труда (ст.213) — 163,48;                                                                                                                      3. Прочие работы, услуги (ст.226) — 28,15 (обучение; повыш.кв.);                                                                                                                   4. Увеличение стоимости основных средств (ст.310) — 36,90.                                                                                                                                                         Ост-к —82,22.</t>
    </r>
  </si>
  <si>
    <r>
      <rPr>
        <b/>
        <sz val="15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555,8 (РХ)                                                                                </t>
    </r>
    <r>
      <rPr>
        <sz val="15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</si>
  <si>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sz val="15"/>
        <rFont val="Times New Roman"/>
        <family val="1"/>
        <charset val="204"/>
      </rPr>
      <t>Социальные выплаты гражданам, в соответствии с действующим законодательством -1767,4</t>
    </r>
    <r>
      <rPr>
        <sz val="15"/>
        <rFont val="Times New Roman"/>
        <family val="1"/>
        <charset val="204"/>
      </rPr>
      <t>, из них:</t>
    </r>
    <r>
      <rPr>
        <b/>
        <sz val="15"/>
        <rFont val="Times New Roman"/>
        <family val="1"/>
        <charset val="204"/>
      </rPr>
      <t xml:space="preserve">                    1502,0 (МБ),   265,4 (РХ)</t>
    </r>
    <r>
      <rPr>
        <sz val="15"/>
        <rFont val="Times New Roman"/>
        <family val="1"/>
        <charset val="204"/>
      </rPr>
      <t>, в том числе: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- 1408,2;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-15,0;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коммунальные услуги специалистам культуры вышедшим на пенсию, проживающим и работающим  в сельской местности) - 8,8;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- 70,0 (3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>-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265,4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</si>
  <si>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2.Ремонт загородных детских лагерей, оздоровительных лагерей - 29,6 (МБ). </t>
    </r>
    <r>
      <rPr>
        <sz val="15"/>
        <rFont val="Times New Roman"/>
        <family val="1"/>
        <charset val="204"/>
      </rPr>
      <t>Софинансирование к республиканскому бюджету на капитальный ремонт горячего водоснабжения МАУ "ЗЛ "Дружба".</t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</si>
  <si>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- 880,0 (МБ), </t>
    </r>
    <r>
      <rPr>
        <i/>
        <sz val="15"/>
        <rFont val="Times New Roman"/>
        <family val="1"/>
        <charset val="204"/>
      </rPr>
      <t>из них:</t>
    </r>
    <r>
      <rPr>
        <b/>
        <i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- 736,2, коммунальные услуги - 122,8, прочие расходы-11,8, приобретение мат.запасов-9,2.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</si>
  <si>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 10670,4 (РХ)</t>
    </r>
    <r>
      <rPr>
        <b/>
        <sz val="15"/>
        <rFont val="Times New Roman"/>
        <family val="1"/>
        <charset val="204"/>
      </rPr>
      <t>, в том числе:</t>
    </r>
    <r>
      <rPr>
        <sz val="15"/>
        <rFont val="Times New Roman"/>
        <family val="1"/>
        <charset val="204"/>
      </rPr>
      <t xml:space="preserve"> Опекунское пособие на 285 детей - 7493,2; вознаграждение приемным семьям 46 чел. - 3177,2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</si>
  <si>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в сфере развития и гармонизации межнациональных отношений - 96,7 (МБ):</t>
    </r>
    <r>
      <rPr>
        <b/>
        <sz val="15"/>
        <rFont val="Times New Roman"/>
        <family val="1"/>
        <charset val="204"/>
      </rPr>
      <t xml:space="preserve">                                                           </t>
    </r>
    <r>
      <rPr>
        <sz val="15"/>
        <rFont val="Times New Roman"/>
        <family val="1"/>
        <charset val="204"/>
      </rPr>
      <t xml:space="preserve"> РДК Дружба:                                                                                                                                                                                                                                 1. Чыл Пазы  - 30,7 (Оформление юрты,цв.иск.,ткань,клеев лист, биокамин (в т.ч. топливо), застежки-кнопки д/ткани,картон,баннеры, булавка, петелька, оформление сцен. действа (фанера, наждачка).                                                                        Остаток на счете -  15,99.                                                                                                                                                                                                                           ДК Гагарина:                                                                                                                                                                                                                                          1. Чыл Пазы  - 39,9 (Оформл. (фанера, брусок), реквизит н/игр.программу и призы).                                                                                        Остаток на счете -  10,11.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</si>
  <si>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- 270,0 (МБ),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РДК:                                                                                                                                                                                                                                                             1. Конкурс "Защитник Отечества"-7,0 (призы (сувениры, канц.тов,сладкие подарки);                                                                                           2. Фотоконкурс повящ. (23 февраля-3,0+8 марта-3,0)-6,0 (подарочные наборы);                                                                                                                          3. Районный конкурс-чтецов-30,0 (книги,фоторамки, оформление);                                                                                                                         4. День работника ЖКХ-37,2 (подарки: флисовые пледы, 75 шт., хризантемы).                                                                                            Остаток на счете - 56,35.                                                                                                                                                                                                                       ДК:                                                                                                                                                                                                                           1. Приобретение портьеры-39,94;                                                                                                                                                                                      2. Конкурс ДПИ "Мама, папа, я-творч-ая семья" (к 23 февраля)-1,3(баннер);                                                                                                                                       3. Концерт "Мы за сильную Россию", посвящ. дню выборов-51,28 (баннер, розы-140 шт);                                                                                                     4. Фотоконкурс "Благословите женщину" - 29,13(19,2 цв. эустома+рамка пластик багет-9,93 упд/цв, тюльпан,букет из тюльп чай черн, органайзер, сумка хоз, торт шоколадн с арах, наборсалатников,весы).                                                                    Остаток на счете - 11,8.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</si>
  <si>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5"/>
        <rFont val="Times New Roman"/>
        <family val="1"/>
        <charset val="204"/>
      </rP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5"/>
        <rFont val="Times New Roman"/>
        <family val="1"/>
        <charset val="204"/>
      </rPr>
      <t xml:space="preserve">- </t>
    </r>
    <r>
      <rPr>
        <b/>
        <i/>
        <sz val="15"/>
        <rFont val="Times New Roman"/>
        <family val="1"/>
        <charset val="204"/>
      </rPr>
      <t>90,8</t>
    </r>
    <r>
      <rPr>
        <b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из них</t>
    </r>
    <r>
      <rPr>
        <i/>
        <sz val="15"/>
        <rFont val="Times New Roman"/>
        <family val="1"/>
        <charset val="204"/>
      </rPr>
      <t>:</t>
    </r>
    <r>
      <rPr>
        <b/>
        <i/>
        <sz val="15"/>
        <rFont val="Times New Roman"/>
        <family val="1"/>
        <charset val="204"/>
      </rPr>
      <t xml:space="preserve"> 1,8 (МБ), 89,0(РХ).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</si>
  <si>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rPr>
        <b/>
        <sz val="15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1.Создание условия для обеспечения современного качества образования - 491,23 (МБ)</t>
    </r>
    <r>
      <rPr>
        <sz val="15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участие команд школьников района в выездных мероприятиях - 479,52, приобретение фотобумаги -3,71, дистанционная олимпиада для дошкольников и младших школьников по функциональной грамотности - 1,0; школьная лига - 5,0;  муниципальный этап всероссийского конкурса юных чтецов "Живая классика" - 0,5; районный конкурс "Жила-была Царевна..." среди воспитанников дошкольных образовательных организаций - 1,0; открытая дистанционная этнокультура Олимпиады для  учащихся 1-4 классов "Народные промыслы" - 0,5.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</si>
  <si>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с сфере физической культуры и спорта</t>
    </r>
    <r>
      <rPr>
        <sz val="15"/>
        <rFont val="Times New Roman"/>
        <family val="1"/>
        <charset val="204"/>
      </rPr>
      <t xml:space="preserve"> </t>
    </r>
    <r>
      <rPr>
        <b/>
        <sz val="15"/>
        <rFont val="Times New Roman"/>
        <family val="1"/>
        <charset val="204"/>
      </rPr>
      <t>- 400,54 (МБ),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1. Тур-р п/хоккею с/мячом на кубок Главы -18,70 (сладкие призы);                                                                                                                                   2. Зимний фест-ль ГТО - 6,21 (медали,кубки,фоторамки);                                                                                                                                           3. Перв-во р-на п/дартсу (р.п. У-Абакан, 2.03)-12,65 (медали, призы, баннер);                                                                                              4.Мини футбол  (р.п. У-Абакан, 27.03)-7,35 (медали, призы, кубки);                                                                                                                  5. Перв-во п/футзалу (юноши) 25,26,29 мар.2024 - 11,46 (медали, кубки);                                                                                                                       6. Перв-во п/волейболу (р.п. У-Абакан, 23 мар.2024)-6,99 (медали,кубки);                                                                                                  7. Хоккей с/мячом  (р.п. У-Абакан, с 02 по 03 мар.2024)-10,38 (медали,кубки,призы);                                                                                               8. Тур-р Главы  п/хоккею с/мячом -40 (сертификаты 80 шт);                                                                                                                                         9. Лыжня России-2024-25,30;                                                                                                                                                                                                          УСЗ: 1. Приобретение керлинга  - 120,00; приобретение наст. игр д/спортакиад-133,70.                                                                          Остаток на счете -7,80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</si>
  <si>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5"/>
        <rFont val="Times New Roman"/>
        <family val="1"/>
        <charset val="204"/>
      </rPr>
      <t xml:space="preserve">: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(МБУК «Усть-Абаканская ЦБС») - 6633,26 (МБ)</t>
    </r>
    <r>
      <rPr>
        <sz val="15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4 259,88;                                                                                                                                                                                  2. Начисления на выплаты по оплате труда (ст.213) — 1037,30;                                                                                                                                          3. Услуги связи (ст.221) — 42,25;                                                                                                                                                                         4. Коммунальные услуги (ст.223) — 376,32;                                                                                                                                                                      5. Услуги по содержанию имущества (ст.225) — 24,51;                                                                                                                                                             6. Прочие работы, услуги (ст.226) — 157,10 (услуги по охране-2,6, обучение-110,7, спил деревьев-43,8);                                                                                                               7. Соц. пособия (Б. листы) (ст. 266)  - 17,81;                                                                                                                                                                8. Увеличение стоимости прочих оборотных запасов (материалов)(ст.346) — 8,28 (хоз.товары);                                                                                                                           9. Увеличение стоимости основных средств (ст.310) — 241,08;                                                                                                                 10. Увеличение стоимости ГСМ (ст.343)-40,11;                                                                                                                                                                                     11.  Прочие расходы (ст.297) — 0,57,                                                                                                                                           Остатки на счете-428,05.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</si>
  <si>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r>
      <t xml:space="preserve">Обеспечение мер социальной поддержки детей-сирот и детей, оставшихся без попечения родителей.   </t>
    </r>
    <r>
      <rPr>
        <b/>
        <i/>
        <sz val="15"/>
        <rFont val="Times New Roman"/>
        <family val="1"/>
        <charset val="204"/>
      </rPr>
      <t xml:space="preserve">1.Осуществление государственных полномочий по организации и осуществлению деятельности по опеке и попечительству - 1709,2 (РХ):    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задания: из средств респуб.бюджета на оплату труда- 1529,9; услуги связи- 39,9; коммунальные услуги - 26,4, услуги по содержанию имущества- 8,5; прочие услуги- 27,3;  приобретение  основных средств - 12,1; приобретение мат.запасов- 62,6; прочие расходы - 2,5.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</si>
  <si>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3. Создание условия для обеспечения современного качества образования - 2189,2 (МБ),  в том числе: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^Замена дверей ПВХ В-Биджинская СОШ (225) - 58,25;                                                                                                               ^Замена электрооборудования на пищеблоке Доможаковская СОШ (225) - 96,21;                                                                                                               ^Установка противопожар. дверей: Опытненская СОШ (225) - 46,67 т.руб; Усть-Абаканская ОШИ (225) - 140,0;                                                                                                                                                                                                          ^Текущий ремонт спортзала  (225) Сапоговская СОШ - 350,0;                                                                                                                                       ^Испытание пожарных кранов Усть-Абаканская ОШИ (225) - 5,0;                                                                                                                                           ^Установка кабинок в туалетную комнату Росток (226) - 95,45;                                                                                                                                                ^Монтаж аварийного освещения Опытненская СОШ (226) - 124,70;                                                                                                                     ^Оборудование на участок (310): В-Биджинская СОШ - 150,0 ; Весенненская СОШ - 150,0 ; Московская СОШ - 145,0 ; Сапоговская СОШ - 150,0;                                                                                                                                                                                                          ^Приобретение оборудования  для пищеблока (310) :  В-Биджинская СОШ - 52,1; Сапоговская СОШ - 89,3;                                                                                                                                                                                                             ^Приобретение мебели в группу:Росток диван  (310) - 49,57, лестницы для кровати - 26,2 ;                              ^Приобретение оргтехники (веб.камера) для ГИА (310) Опытненская СОШ - 22,88;                                                                              ^Приобретение огнетушителей (310): Расцветская СОШ - 13,5; Усть-Абаканская ОШИ - 0,9;                                                                                    ^Приобретение стройматериалов (346) В-Биджинская СОШ - 235,23;                                                                                                                                          ^Приобретение пожарных знаков Росток (346) - 11,12;                                                                                                                    ^Приобретение канцтоваров для ГИА Опытненская СОШ - 10,75.                                                                                                                                           ^Приобретение продуктов питания для мероприятия "Учитель года" - 9,04, приобретение для награждения "Учитель года" телевизор, кофеварка, эл. гриль, пылесос, микроволновка - 64,69; награждение (грамоты, сувениры, цветы) - 92,64</t>
    </r>
  </si>
  <si>
    <r>
      <t>1.Мероприятия по обеспечению сохранности существующей сети автомобильных дорог общего пользования местного значения - 1877,5 (МБ)</t>
    </r>
    <r>
      <rPr>
        <sz val="15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- 1621,8,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Усть-Абаканского района Республики Хакасия- 59,1 (Чарковский с/с -3,9руб., Усть-Бюрский с/с - 55,2);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(аал Чарков - аал Ах-Хол-аал Майский; Подъезд к аал Бейка; аал Чарков- аал Уйбат) -806,0;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-227,3;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- 156,9 (В.Биджинский с/с - 83,8, Московский с/с - 73,1);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(Подъезд к п. Ильича, аал Доможаков - аал Трояков, аал Райков-аал Баинов) - 299,1;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сельсовет - 73,4.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</si>
  <si>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5"/>
        <rFont val="Times New Roman"/>
        <family val="1"/>
        <charset val="204"/>
      </rPr>
      <t>2.Мероприятия по поддержке и развитию культуры, искусства и архивного дела - 348,33 (МБ):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</t>
    </r>
    <r>
      <rPr>
        <sz val="15"/>
        <rFont val="Times New Roman"/>
        <family val="1"/>
        <charset val="204"/>
      </rPr>
      <t xml:space="preserve"> 1. Блокадный хлеб - 3,20;                                                                                                                                                                                     2. Конкурс рисунков "Стоит на страже Родины солдат" - 3,50;                                                                                                                                                3. Возложение - 13,00 (баннер, гвоздики (100 шт.);                                                                                                                                                          4. мастер-класс-4,0 (наборы,сумки);                                                                                                                                                                               5. Открытие выставки "Герои наших дней" - 10,0 (ветки хризантемы (40 шт.);                                                                                                                       6. Приобретение материалов на мероприятие "Широкая масленница" - 3,0 (продукты);                                                                                                                    7. Приобретение материалов д/проведения мероприятия к юбилею У-Абаканского р-на - 300,00.                                                                                                                                                                                                                                 Остаток на счете - 11,63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</t>
    </r>
    <r>
      <rPr>
        <sz val="15"/>
        <rFont val="Times New Roman"/>
        <family val="1"/>
        <charset val="204"/>
      </rPr>
      <t xml:space="preserve"> </t>
    </r>
  </si>
  <si>
    <r>
      <rPr>
        <b/>
        <sz val="15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1.Мероприятия по поддержке и развитию культуры, искусства и архивного дела - 181,3 (МБ):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5"/>
        <rFont val="Times New Roman"/>
        <family val="1"/>
        <charset val="204"/>
      </rPr>
      <t xml:space="preserve"> ДК Гагарина:                                                                                                                                                                                                                      1. Конкурс ДПИ "Мама, папа, я-творч-ая семья (ко дню защитника Отечества) - 8,6 (краска, трафарет и бумага);                                                  2. На балу у Золушки (в т.ч.корета и/фанеры-12,0)-23,0 (диадема д/волос, медведь, шар метал Экстра, генератор, пакет БОПП, пакет подароч с 3Д аппликац, розы);                                                                                                                                                    3. Концерт на 8 марта (баннер, розы, бат.дюрасел)-10,0.                                                                                                                                                      Остаток на счете - 0,3.                                                                                                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1. Уч-ие во Всеросс.конкурсе PACHKA (пошив в костюме 13 шт.)-117,00;                                                                                                                                                              2. Выставка конкурс ДПИ "Слава тебе защитник"-4,0;                                                                                                                                                3. Благотворит.концерт в поддержку уч-ов СВО "Мы вместе" с. Калинино-3,6 (цветы-12 букетов);                                                                        4. Выставка-конкурс "Пернатые друзья" - 7,0 (Оформл.выставки (фотобумага-2,0+цв. иск.-3,5+призы (сувениры,канц., наборы/тв-ва-1,5);                                                                                                                                                                                                   5. Фотоконкурс- 2,3 (призы, сувениры, канц.тов.);                                                                                                                                           Остаток на счете - 5,5.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</si>
  <si>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Сохранение культурных ценностей:
</t>
    </r>
    <r>
      <rPr>
        <b/>
        <i/>
        <sz val="15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- 813,01 (МБ),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 455,9;                                                                                                                                                               2. Начисления на выплаты по оплате труда (ст.213) — 106,7;                                                                                                                                      3. Коммунальные услуги (ст.223) — 70,5;                                                                                                                                                                      4. Услуги по содержанию имущества (ст.225) — 11,8;                                                                                                                                                                                                                      5. Прочие работы, услуги (ст.226) — 29,8;                                                                                                                                                        6. Пособие по врем.нетруд. (266)-4,5;                                                                                                                                                   7.Увелич-е ст-ти ОС (ст 310)  — 27,50;                                                                                                                                                          8. Прочие расходы (ст. 297)— 0,3.                                                                                                                                                                                                                                            Остаток на счете — 106,01.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</si>
  <si>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5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- 508,1 (МБ)</t>
    </r>
    <r>
      <rPr>
        <i/>
        <sz val="15"/>
        <rFont val="Times New Roman"/>
        <family val="1"/>
        <charset val="204"/>
      </rPr>
      <t>,</t>
    </r>
    <r>
      <rPr>
        <sz val="15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1.Оплата труда (ст.211) —254,99;                                                                                                                                                                        2.Начисления на выплаты по оплате труда (ст.213) — 64,92;                                                                                                                     3.Коммунальные услуги (ст.223) — 74,91;                                                                                                                                        4.Увеличение стоимости проч.расходов (ст.226) — 39,51;                                                                                                                     5.Увеличение стоимости ГСМ (ст.343) — 21,95;                                                                                                                            6.Увеличение стоимости основных средств (ст.310) — 8,24;                                                                                                                                                                                                                                        7.Прочие расходы (ст. 297) — 0,36;                                                                                                                                                              Остаток на счете — 43,22.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</si>
</sst>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#,##0.000000"/>
    <numFmt numFmtId="167" formatCode="#,##0.000"/>
    <numFmt numFmtId="168" formatCode="#,##0.00000"/>
  </numFmts>
  <fonts count="3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name val="Times New Roman"/>
      <family val="1"/>
      <charset val="204"/>
    </font>
    <font>
      <b/>
      <i/>
      <sz val="21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top" shrinkToFi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center"/>
    </xf>
    <xf numFmtId="2" fontId="9" fillId="0" borderId="9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/>
    </xf>
    <xf numFmtId="2" fontId="9" fillId="0" borderId="10" xfId="0" applyNumberFormat="1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left" vertical="top"/>
    </xf>
    <xf numFmtId="0" fontId="8" fillId="0" borderId="8" xfId="0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/>
    </xf>
    <xf numFmtId="165" fontId="9" fillId="0" borderId="21" xfId="0" applyNumberFormat="1" applyFont="1" applyFill="1" applyBorder="1" applyAlignment="1">
      <alignment vertical="top" wrapText="1"/>
    </xf>
    <xf numFmtId="165" fontId="8" fillId="0" borderId="11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5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right" vertical="top" shrinkToFit="1"/>
    </xf>
    <xf numFmtId="164" fontId="9" fillId="0" borderId="9" xfId="0" applyNumberFormat="1" applyFont="1" applyFill="1" applyBorder="1" applyAlignment="1">
      <alignment horizontal="right" vertical="top" shrinkToFit="1"/>
    </xf>
    <xf numFmtId="0" fontId="9" fillId="0" borderId="8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vertical="top" shrinkToFit="1"/>
    </xf>
    <xf numFmtId="164" fontId="9" fillId="0" borderId="8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7" fillId="0" borderId="0" xfId="0" applyFont="1" applyFill="1" applyAlignment="1"/>
    <xf numFmtId="164" fontId="28" fillId="0" borderId="0" xfId="0" applyNumberFormat="1" applyFont="1" applyFill="1" applyBorder="1" applyAlignment="1">
      <alignment horizontal="right" vertical="top" shrinkToFit="1"/>
    </xf>
    <xf numFmtId="164" fontId="28" fillId="0" borderId="0" xfId="0" applyNumberFormat="1" applyFont="1" applyFill="1" applyBorder="1" applyAlignment="1">
      <alignment horizontal="center" vertical="top"/>
    </xf>
    <xf numFmtId="165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left"/>
    </xf>
    <xf numFmtId="164" fontId="28" fillId="0" borderId="0" xfId="0" applyNumberFormat="1" applyFont="1" applyFill="1" applyBorder="1" applyAlignment="1">
      <alignment horizontal="left" vertical="top" shrinkToFit="1"/>
    </xf>
    <xf numFmtId="49" fontId="27" fillId="0" borderId="0" xfId="0" applyNumberFormat="1" applyFont="1" applyFill="1" applyAlignment="1">
      <alignment horizontal="left"/>
    </xf>
    <xf numFmtId="164" fontId="27" fillId="0" borderId="0" xfId="0" applyNumberFormat="1" applyFont="1" applyFill="1" applyAlignment="1">
      <alignment horizontal="left" vertical="top" shrinkToFit="1"/>
    </xf>
    <xf numFmtId="164" fontId="28" fillId="0" borderId="0" xfId="0" applyNumberFormat="1" applyFont="1" applyFill="1" applyAlignment="1">
      <alignment horizontal="right" vertical="top" shrinkToFit="1"/>
    </xf>
    <xf numFmtId="164" fontId="27" fillId="0" borderId="0" xfId="0" applyNumberFormat="1" applyFont="1" applyFill="1" applyAlignment="1">
      <alignment horizontal="right" vertical="top" shrinkToFit="1"/>
    </xf>
    <xf numFmtId="164" fontId="28" fillId="0" borderId="0" xfId="0" applyNumberFormat="1" applyFont="1" applyFill="1" applyAlignment="1">
      <alignment horizontal="center" vertical="top"/>
    </xf>
    <xf numFmtId="164" fontId="27" fillId="0" borderId="0" xfId="0" applyNumberFormat="1" applyFont="1" applyFill="1" applyAlignment="1">
      <alignment horizontal="left" vertical="top"/>
    </xf>
    <xf numFmtId="0" fontId="27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4" fontId="9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shrinkToFit="1"/>
    </xf>
    <xf numFmtId="165" fontId="9" fillId="0" borderId="9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horizontal="left" vertical="center"/>
    </xf>
    <xf numFmtId="165" fontId="9" fillId="0" borderId="7" xfId="0" applyNumberFormat="1" applyFont="1" applyFill="1" applyBorder="1" applyAlignment="1">
      <alignment horizontal="left" vertical="center"/>
    </xf>
    <xf numFmtId="16" fontId="9" fillId="0" borderId="0" xfId="0" applyNumberFormat="1" applyFont="1" applyFill="1" applyBorder="1"/>
    <xf numFmtId="167" fontId="9" fillId="0" borderId="0" xfId="0" applyNumberFormat="1" applyFont="1" applyFill="1" applyAlignment="1">
      <alignment horizontal="left" vertical="center"/>
    </xf>
    <xf numFmtId="167" fontId="9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top"/>
    </xf>
    <xf numFmtId="0" fontId="21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vertical="top" shrinkToFit="1"/>
    </xf>
    <xf numFmtId="164" fontId="9" fillId="0" borderId="12" xfId="0" applyNumberFormat="1" applyFont="1" applyFill="1" applyBorder="1" applyAlignment="1">
      <alignment horizontal="right" vertical="top" shrinkToFit="1"/>
    </xf>
    <xf numFmtId="164" fontId="9" fillId="0" borderId="4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5" fontId="9" fillId="0" borderId="8" xfId="0" applyNumberFormat="1" applyFont="1" applyFill="1" applyBorder="1" applyAlignment="1">
      <alignment horizontal="left" vertical="top" wrapText="1"/>
    </xf>
    <xf numFmtId="165" fontId="24" fillId="0" borderId="8" xfId="0" applyNumberFormat="1" applyFont="1" applyFill="1" applyBorder="1" applyAlignment="1">
      <alignment vertical="top" wrapText="1"/>
    </xf>
    <xf numFmtId="165" fontId="24" fillId="0" borderId="8" xfId="0" applyNumberFormat="1" applyFont="1" applyFill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right" vertical="top" shrinkToFit="1"/>
    </xf>
    <xf numFmtId="4" fontId="8" fillId="0" borderId="5" xfId="0" applyNumberFormat="1" applyFont="1" applyFill="1" applyBorder="1" applyAlignment="1">
      <alignment horizontal="right" vertical="top" shrinkToFit="1"/>
    </xf>
    <xf numFmtId="165" fontId="9" fillId="0" borderId="11" xfId="0" applyNumberFormat="1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vertical="top" shrinkToFit="1"/>
    </xf>
    <xf numFmtId="164" fontId="8" fillId="0" borderId="10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horizontal="center" vertical="top"/>
    </xf>
    <xf numFmtId="165" fontId="24" fillId="0" borderId="6" xfId="0" applyNumberFormat="1" applyFont="1" applyFill="1" applyBorder="1" applyAlignment="1">
      <alignment horizontal="left" vertical="top" wrapText="1"/>
    </xf>
    <xf numFmtId="164" fontId="27" fillId="0" borderId="0" xfId="0" applyNumberFormat="1" applyFont="1" applyFill="1" applyBorder="1" applyAlignment="1">
      <alignment horizontal="left" vertical="top" shrinkToFit="1"/>
    </xf>
    <xf numFmtId="164" fontId="27" fillId="0" borderId="0" xfId="0" applyNumberFormat="1" applyFont="1" applyFill="1" applyBorder="1" applyAlignment="1">
      <alignment horizontal="righ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9" fillId="2" borderId="5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8" fillId="2" borderId="5" xfId="0" applyNumberFormat="1" applyFont="1" applyFill="1" applyBorder="1" applyAlignment="1">
      <alignment horizontal="right" vertical="top" shrinkToFit="1"/>
    </xf>
    <xf numFmtId="164" fontId="9" fillId="6" borderId="5" xfId="0" applyNumberFormat="1" applyFont="1" applyFill="1" applyBorder="1" applyAlignment="1">
      <alignment horizontal="right" vertical="top" shrinkToFit="1"/>
    </xf>
    <xf numFmtId="3" fontId="8" fillId="0" borderId="6" xfId="0" applyNumberFormat="1" applyFont="1" applyFill="1" applyBorder="1" applyAlignment="1">
      <alignment horizontal="right" vertical="top" shrinkToFit="1"/>
    </xf>
    <xf numFmtId="165" fontId="31" fillId="0" borderId="5" xfId="0" applyNumberFormat="1" applyFont="1" applyFill="1" applyBorder="1" applyAlignment="1">
      <alignment vertical="top" wrapTex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top"/>
    </xf>
    <xf numFmtId="0" fontId="31" fillId="0" borderId="0" xfId="0" applyFont="1" applyFill="1" applyBorder="1"/>
    <xf numFmtId="0" fontId="31" fillId="0" borderId="0" xfId="0" applyFont="1" applyFill="1"/>
    <xf numFmtId="165" fontId="31" fillId="0" borderId="0" xfId="0" applyNumberFormat="1" applyFont="1" applyFill="1" applyBorder="1"/>
    <xf numFmtId="0" fontId="31" fillId="0" borderId="0" xfId="0" applyFont="1" applyFill="1" applyAlignment="1">
      <alignment horizontal="center" wrapText="1"/>
    </xf>
    <xf numFmtId="164" fontId="31" fillId="0" borderId="0" xfId="0" applyNumberFormat="1" applyFont="1" applyFill="1" applyAlignment="1">
      <alignment horizontal="right" vertical="top" shrinkToFit="1"/>
    </xf>
    <xf numFmtId="164" fontId="32" fillId="0" borderId="0" xfId="0" applyNumberFormat="1" applyFont="1" applyFill="1" applyAlignment="1">
      <alignment horizontal="right" vertical="top" shrinkToFit="1"/>
    </xf>
    <xf numFmtId="164" fontId="32" fillId="0" borderId="0" xfId="0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right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Alignment="1">
      <alignment wrapText="1"/>
    </xf>
    <xf numFmtId="164" fontId="32" fillId="0" borderId="6" xfId="0" applyNumberFormat="1" applyFont="1" applyFill="1" applyBorder="1" applyAlignment="1">
      <alignment horizontal="center" vertical="center" shrinkToFit="1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shrinkToFit="1"/>
    </xf>
    <xf numFmtId="3" fontId="31" fillId="0" borderId="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left" vertical="center"/>
    </xf>
    <xf numFmtId="1" fontId="31" fillId="0" borderId="0" xfId="0" applyNumberFormat="1" applyFont="1" applyFill="1" applyAlignment="1">
      <alignment horizontal="center" vertical="top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Border="1" applyAlignment="1">
      <alignment vertical="top"/>
    </xf>
    <xf numFmtId="165" fontId="32" fillId="0" borderId="8" xfId="0" applyNumberFormat="1" applyFont="1" applyFill="1" applyBorder="1" applyAlignment="1">
      <alignment horizontal="center" vertical="top"/>
    </xf>
    <xf numFmtId="165" fontId="32" fillId="0" borderId="0" xfId="0" applyNumberFormat="1" applyFont="1" applyFill="1" applyBorder="1" applyAlignment="1">
      <alignment vertical="top" wrapText="1"/>
    </xf>
    <xf numFmtId="164" fontId="32" fillId="0" borderId="9" xfId="0" applyNumberFormat="1" applyFont="1" applyFill="1" applyBorder="1" applyAlignment="1">
      <alignment horizontal="right" vertical="top" shrinkToFit="1"/>
    </xf>
    <xf numFmtId="164" fontId="32" fillId="0" borderId="8" xfId="0" applyNumberFormat="1" applyFont="1" applyFill="1" applyBorder="1" applyAlignment="1">
      <alignment horizontal="right" vertical="top" shrinkToFit="1"/>
    </xf>
    <xf numFmtId="165" fontId="31" fillId="0" borderId="8" xfId="0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horizontal="left" vertical="center"/>
    </xf>
    <xf numFmtId="165" fontId="31" fillId="0" borderId="8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164" fontId="31" fillId="0" borderId="9" xfId="0" applyNumberFormat="1" applyFont="1" applyFill="1" applyBorder="1" applyAlignment="1">
      <alignment horizontal="right" vertical="top" shrinkToFit="1"/>
    </xf>
    <xf numFmtId="164" fontId="31" fillId="0" borderId="8" xfId="0" applyNumberFormat="1" applyFont="1" applyFill="1" applyBorder="1" applyAlignment="1">
      <alignment horizontal="right" vertical="top" shrinkToFit="1"/>
    </xf>
    <xf numFmtId="165" fontId="32" fillId="0" borderId="8" xfId="0" applyNumberFormat="1" applyFont="1" applyFill="1" applyBorder="1" applyAlignment="1">
      <alignment vertical="top" wrapText="1"/>
    </xf>
    <xf numFmtId="165" fontId="31" fillId="0" borderId="6" xfId="0" applyNumberFormat="1" applyFont="1" applyFill="1" applyBorder="1" applyAlignment="1">
      <alignment horizontal="center" vertical="top"/>
    </xf>
    <xf numFmtId="165" fontId="32" fillId="0" borderId="1" xfId="0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top" wrapText="1"/>
    </xf>
    <xf numFmtId="164" fontId="32" fillId="0" borderId="1" xfId="0" applyNumberFormat="1" applyFont="1" applyFill="1" applyBorder="1" applyAlignment="1">
      <alignment horizontal="right" vertical="top" shrinkToFit="1"/>
    </xf>
    <xf numFmtId="164" fontId="32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167" fontId="31" fillId="0" borderId="5" xfId="0" applyNumberFormat="1" applyFont="1" applyFill="1" applyBorder="1" applyAlignment="1">
      <alignment horizontal="center" vertical="top" wrapText="1"/>
    </xf>
    <xf numFmtId="167" fontId="31" fillId="0" borderId="0" xfId="0" applyNumberFormat="1" applyFont="1" applyFill="1" applyAlignment="1">
      <alignment horizontal="left" vertical="center"/>
    </xf>
    <xf numFmtId="165" fontId="31" fillId="0" borderId="5" xfId="0" applyNumberFormat="1" applyFont="1" applyFill="1" applyBorder="1" applyAlignment="1">
      <alignment horizontal="center" vertical="top"/>
    </xf>
    <xf numFmtId="164" fontId="31" fillId="0" borderId="8" xfId="0" applyNumberFormat="1" applyFont="1" applyFill="1" applyBorder="1" applyAlignment="1">
      <alignment vertical="top" shrinkToFit="1"/>
    </xf>
    <xf numFmtId="164" fontId="32" fillId="0" borderId="8" xfId="0" applyNumberFormat="1" applyFont="1" applyFill="1" applyBorder="1" applyAlignment="1">
      <alignment vertical="top" shrinkToFit="1"/>
    </xf>
    <xf numFmtId="165" fontId="31" fillId="0" borderId="8" xfId="0" applyNumberFormat="1" applyFont="1" applyFill="1" applyBorder="1" applyAlignment="1">
      <alignment vertical="top"/>
    </xf>
    <xf numFmtId="164" fontId="32" fillId="0" borderId="8" xfId="0" applyNumberFormat="1" applyFont="1" applyFill="1" applyBorder="1" applyAlignment="1">
      <alignment vertical="top"/>
    </xf>
    <xf numFmtId="0" fontId="31" fillId="0" borderId="8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/>
    </xf>
    <xf numFmtId="165" fontId="31" fillId="0" borderId="8" xfId="0" applyNumberFormat="1" applyFont="1" applyFill="1" applyBorder="1" applyAlignment="1">
      <alignment horizontal="left" vertical="top"/>
    </xf>
    <xf numFmtId="2" fontId="31" fillId="0" borderId="9" xfId="0" applyNumberFormat="1" applyFont="1" applyFill="1" applyBorder="1" applyAlignment="1">
      <alignment horizontal="left" vertical="center"/>
    </xf>
    <xf numFmtId="0" fontId="32" fillId="0" borderId="8" xfId="0" applyFont="1" applyFill="1" applyBorder="1" applyAlignment="1">
      <alignment vertical="top" wrapText="1"/>
    </xf>
    <xf numFmtId="0" fontId="31" fillId="0" borderId="21" xfId="0" applyFont="1" applyFill="1" applyBorder="1" applyAlignment="1">
      <alignment vertical="top"/>
    </xf>
    <xf numFmtId="164" fontId="32" fillId="0" borderId="9" xfId="0" applyNumberFormat="1" applyFont="1" applyFill="1" applyBorder="1" applyAlignment="1">
      <alignment vertical="top"/>
    </xf>
    <xf numFmtId="0" fontId="31" fillId="0" borderId="23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vertical="top"/>
    </xf>
    <xf numFmtId="0" fontId="32" fillId="0" borderId="6" xfId="0" applyFont="1" applyFill="1" applyBorder="1" applyAlignment="1">
      <alignment vertical="top" wrapText="1"/>
    </xf>
    <xf numFmtId="2" fontId="31" fillId="0" borderId="7" xfId="0" applyNumberFormat="1" applyFont="1" applyFill="1" applyBorder="1" applyAlignment="1">
      <alignment horizontal="left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left" vertical="top"/>
    </xf>
    <xf numFmtId="165" fontId="31" fillId="0" borderId="6" xfId="0" applyNumberFormat="1" applyFont="1" applyFill="1" applyBorder="1" applyAlignment="1">
      <alignment vertical="top" wrapText="1"/>
    </xf>
    <xf numFmtId="164" fontId="31" fillId="0" borderId="12" xfId="0" applyNumberFormat="1" applyFont="1" applyFill="1" applyBorder="1" applyAlignment="1">
      <alignment horizontal="right" vertical="top" shrinkToFit="1"/>
    </xf>
    <xf numFmtId="165" fontId="31" fillId="0" borderId="1" xfId="0" applyNumberFormat="1" applyFont="1" applyFill="1" applyBorder="1" applyAlignment="1">
      <alignment horizontal="center" vertical="top"/>
    </xf>
    <xf numFmtId="165" fontId="31" fillId="0" borderId="1" xfId="0" applyNumberFormat="1" applyFont="1" applyFill="1" applyBorder="1" applyAlignment="1">
      <alignment vertical="top" wrapText="1"/>
    </xf>
    <xf numFmtId="164" fontId="31" fillId="0" borderId="1" xfId="0" applyNumberFormat="1" applyFont="1" applyFill="1" applyBorder="1" applyAlignment="1">
      <alignment horizontal="right" vertical="top" shrinkToFit="1"/>
    </xf>
    <xf numFmtId="165" fontId="31" fillId="0" borderId="0" xfId="0" applyNumberFormat="1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2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vertical="top" wrapText="1"/>
    </xf>
    <xf numFmtId="4" fontId="31" fillId="0" borderId="0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vertical="top" wrapText="1"/>
    </xf>
    <xf numFmtId="0" fontId="31" fillId="0" borderId="5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vertical="top" wrapText="1"/>
    </xf>
    <xf numFmtId="16" fontId="31" fillId="0" borderId="0" xfId="0" applyNumberFormat="1" applyFont="1" applyFill="1" applyBorder="1"/>
    <xf numFmtId="0" fontId="31" fillId="0" borderId="10" xfId="0" applyFont="1" applyFill="1" applyBorder="1" applyAlignment="1">
      <alignment vertical="top" wrapText="1"/>
    </xf>
    <xf numFmtId="164" fontId="31" fillId="0" borderId="23" xfId="0" applyNumberFormat="1" applyFont="1" applyFill="1" applyBorder="1" applyAlignment="1">
      <alignment horizontal="right" vertical="top" shrinkToFit="1"/>
    </xf>
    <xf numFmtId="165" fontId="31" fillId="0" borderId="10" xfId="0" applyNumberFormat="1" applyFont="1" applyFill="1" applyBorder="1" applyAlignment="1">
      <alignment horizontal="left" vertical="center"/>
    </xf>
    <xf numFmtId="0" fontId="32" fillId="0" borderId="5" xfId="0" applyFont="1" applyFill="1" applyBorder="1" applyAlignment="1">
      <alignment vertical="top" wrapText="1"/>
    </xf>
    <xf numFmtId="165" fontId="32" fillId="0" borderId="5" xfId="0" applyNumberFormat="1" applyFont="1" applyFill="1" applyBorder="1" applyAlignment="1">
      <alignment vertical="top" wrapText="1"/>
    </xf>
    <xf numFmtId="4" fontId="31" fillId="0" borderId="0" xfId="0" applyNumberFormat="1" applyFont="1" applyFill="1" applyBorder="1" applyAlignment="1">
      <alignment horizontal="left" vertical="top"/>
    </xf>
    <xf numFmtId="0" fontId="32" fillId="0" borderId="8" xfId="0" applyFont="1" applyFill="1" applyBorder="1" applyAlignment="1">
      <alignment horizontal="left" vertical="top" wrapText="1"/>
    </xf>
    <xf numFmtId="49" fontId="31" fillId="0" borderId="7" xfId="0" applyNumberFormat="1" applyFont="1" applyFill="1" applyBorder="1" applyAlignment="1">
      <alignment horizontal="center" vertical="top"/>
    </xf>
    <xf numFmtId="49" fontId="31" fillId="0" borderId="9" xfId="0" applyNumberFormat="1" applyFont="1" applyFill="1" applyBorder="1" applyAlignment="1">
      <alignment horizontal="center" vertical="top"/>
    </xf>
    <xf numFmtId="164" fontId="32" fillId="0" borderId="7" xfId="0" applyNumberFormat="1" applyFont="1" applyFill="1" applyBorder="1" applyAlignment="1">
      <alignment horizontal="center" vertical="top"/>
    </xf>
    <xf numFmtId="164" fontId="31" fillId="0" borderId="6" xfId="0" applyNumberFormat="1" applyFont="1" applyFill="1" applyBorder="1" applyAlignment="1">
      <alignment vertical="top" shrinkToFit="1"/>
    </xf>
    <xf numFmtId="164" fontId="32" fillId="0" borderId="6" xfId="0" applyNumberFormat="1" applyFont="1" applyFill="1" applyBorder="1" applyAlignment="1">
      <alignment vertical="top" shrinkToFit="1"/>
    </xf>
    <xf numFmtId="164" fontId="32" fillId="0" borderId="10" xfId="0" applyNumberFormat="1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49" fontId="32" fillId="0" borderId="5" xfId="0" applyNumberFormat="1" applyFont="1" applyFill="1" applyBorder="1" applyAlignment="1">
      <alignment horizontal="center" vertical="top"/>
    </xf>
    <xf numFmtId="49" fontId="32" fillId="0" borderId="8" xfId="0" applyNumberFormat="1" applyFont="1" applyFill="1" applyBorder="1" applyAlignment="1">
      <alignment horizontal="center" vertical="top"/>
    </xf>
    <xf numFmtId="49" fontId="31" fillId="0" borderId="8" xfId="0" applyNumberFormat="1" applyFont="1" applyFill="1" applyBorder="1" applyAlignment="1">
      <alignment vertical="top"/>
    </xf>
    <xf numFmtId="2" fontId="31" fillId="0" borderId="10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top" wrapText="1"/>
    </xf>
    <xf numFmtId="165" fontId="32" fillId="0" borderId="1" xfId="0" applyNumberFormat="1" applyFont="1" applyFill="1" applyBorder="1" applyAlignment="1">
      <alignment horizontal="center" vertical="top" wrapText="1"/>
    </xf>
    <xf numFmtId="165" fontId="31" fillId="0" borderId="1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165" fontId="31" fillId="0" borderId="7" xfId="0" applyNumberFormat="1" applyFont="1" applyFill="1" applyBorder="1" applyAlignment="1">
      <alignment horizontal="left" vertical="center"/>
    </xf>
    <xf numFmtId="165" fontId="31" fillId="0" borderId="5" xfId="0" applyNumberFormat="1" applyFont="1" applyFill="1" applyBorder="1" applyAlignment="1">
      <alignment horizontal="center" vertical="top" wrapText="1"/>
    </xf>
    <xf numFmtId="165" fontId="31" fillId="0" borderId="8" xfId="0" applyNumberFormat="1" applyFont="1" applyFill="1" applyBorder="1" applyAlignment="1">
      <alignment horizontal="center" vertical="top" wrapText="1"/>
    </xf>
    <xf numFmtId="165" fontId="32" fillId="0" borderId="2" xfId="0" applyNumberFormat="1" applyFont="1" applyFill="1" applyBorder="1" applyAlignment="1">
      <alignment horizontal="center" vertical="top" wrapText="1"/>
    </xf>
    <xf numFmtId="2" fontId="31" fillId="0" borderId="11" xfId="0" applyNumberFormat="1" applyFont="1" applyFill="1" applyBorder="1" applyAlignment="1">
      <alignment vertical="top"/>
    </xf>
    <xf numFmtId="4" fontId="31" fillId="0" borderId="0" xfId="0" applyNumberFormat="1" applyFont="1" applyFill="1" applyBorder="1"/>
    <xf numFmtId="164" fontId="32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5" fontId="31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 applyAlignment="1">
      <alignment horizontal="left" vertical="top" wrapText="1"/>
    </xf>
    <xf numFmtId="164" fontId="32" fillId="0" borderId="0" xfId="0" applyNumberFormat="1" applyFont="1" applyFill="1" applyBorder="1" applyAlignment="1">
      <alignment horizontal="right" vertical="top" shrinkToFit="1"/>
    </xf>
    <xf numFmtId="164" fontId="32" fillId="0" borderId="0" xfId="0" applyNumberFormat="1" applyFont="1" applyFill="1" applyBorder="1" applyAlignment="1">
      <alignment horizontal="center" vertical="top"/>
    </xf>
    <xf numFmtId="4" fontId="32" fillId="0" borderId="0" xfId="0" applyNumberFormat="1" applyFont="1" applyFill="1" applyBorder="1" applyAlignment="1">
      <alignment horizontal="right" vertical="top" shrinkToFit="1"/>
    </xf>
    <xf numFmtId="0" fontId="31" fillId="0" borderId="0" xfId="0" applyFont="1" applyFill="1" applyAlignment="1">
      <alignment horizontal="left"/>
    </xf>
    <xf numFmtId="164" fontId="32" fillId="0" borderId="0" xfId="0" applyNumberFormat="1" applyFont="1" applyFill="1" applyBorder="1" applyAlignment="1">
      <alignment horizontal="left" vertical="top" shrinkToFit="1"/>
    </xf>
    <xf numFmtId="49" fontId="31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 vertical="top" shrinkToFit="1"/>
    </xf>
    <xf numFmtId="164" fontId="31" fillId="0" borderId="0" xfId="0" applyNumberFormat="1" applyFont="1" applyFill="1" applyBorder="1" applyAlignment="1">
      <alignment horizontal="left" vertical="top" shrinkToFit="1"/>
    </xf>
    <xf numFmtId="164" fontId="31" fillId="0" borderId="0" xfId="0" applyNumberFormat="1" applyFont="1" applyFill="1" applyBorder="1" applyAlignment="1">
      <alignment horizontal="right" vertical="top" shrinkToFit="1"/>
    </xf>
    <xf numFmtId="164" fontId="32" fillId="0" borderId="0" xfId="0" applyNumberFormat="1" applyFont="1" applyFill="1" applyAlignment="1">
      <alignment horizontal="center" vertical="top"/>
    </xf>
    <xf numFmtId="164" fontId="31" fillId="0" borderId="0" xfId="0" applyNumberFormat="1" applyFont="1" applyFill="1" applyAlignment="1">
      <alignment horizontal="left" vertical="top"/>
    </xf>
    <xf numFmtId="0" fontId="33" fillId="0" borderId="0" xfId="0" applyFont="1" applyFill="1" applyAlignment="1">
      <alignment horizontal="center"/>
    </xf>
    <xf numFmtId="0" fontId="31" fillId="0" borderId="0" xfId="0" applyNumberFormat="1" applyFont="1" applyFill="1" applyAlignment="1">
      <alignment wrapText="1"/>
    </xf>
    <xf numFmtId="0" fontId="31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top"/>
    </xf>
    <xf numFmtId="4" fontId="31" fillId="0" borderId="0" xfId="0" applyNumberFormat="1" applyFont="1" applyFill="1" applyBorder="1" applyAlignment="1">
      <alignment horizontal="center" vertical="top"/>
    </xf>
    <xf numFmtId="165" fontId="32" fillId="0" borderId="6" xfId="0" applyNumberFormat="1" applyFont="1" applyFill="1" applyBorder="1" applyAlignment="1">
      <alignment horizontal="center" vertical="top"/>
    </xf>
    <xf numFmtId="164" fontId="32" fillId="0" borderId="5" xfId="0" applyNumberFormat="1" applyFont="1" applyFill="1" applyBorder="1" applyAlignment="1">
      <alignment horizontal="right" vertical="top" shrinkToFit="1"/>
    </xf>
    <xf numFmtId="164" fontId="32" fillId="0" borderId="6" xfId="0" applyNumberFormat="1" applyFont="1" applyFill="1" applyBorder="1" applyAlignment="1">
      <alignment horizontal="right" vertical="top" shrinkToFit="1"/>
    </xf>
    <xf numFmtId="164" fontId="31" fillId="0" borderId="5" xfId="0" applyNumberFormat="1" applyFont="1" applyFill="1" applyBorder="1" applyAlignment="1">
      <alignment horizontal="right" vertical="top" shrinkToFit="1"/>
    </xf>
    <xf numFmtId="164" fontId="31" fillId="0" borderId="6" xfId="0" applyNumberFormat="1" applyFont="1" applyFill="1" applyBorder="1" applyAlignment="1">
      <alignment horizontal="right" vertical="top" shrinkToFit="1"/>
    </xf>
    <xf numFmtId="164" fontId="32" fillId="0" borderId="8" xfId="0" applyNumberFormat="1" applyFont="1" applyFill="1" applyBorder="1" applyAlignment="1">
      <alignment horizontal="center" vertical="top"/>
    </xf>
    <xf numFmtId="165" fontId="32" fillId="0" borderId="11" xfId="0" applyNumberFormat="1" applyFont="1" applyFill="1" applyBorder="1" applyAlignment="1">
      <alignment vertical="top" wrapText="1"/>
    </xf>
    <xf numFmtId="0" fontId="31" fillId="0" borderId="7" xfId="0" applyFont="1" applyFill="1" applyBorder="1" applyAlignment="1">
      <alignment horizontal="left" vertical="center"/>
    </xf>
    <xf numFmtId="165" fontId="32" fillId="0" borderId="5" xfId="0" applyNumberFormat="1" applyFont="1" applyFill="1" applyBorder="1" applyAlignment="1">
      <alignment horizontal="center" vertical="top"/>
    </xf>
    <xf numFmtId="0" fontId="31" fillId="0" borderId="22" xfId="0" applyFont="1" applyFill="1" applyBorder="1" applyAlignment="1">
      <alignment vertical="top"/>
    </xf>
    <xf numFmtId="0" fontId="31" fillId="0" borderId="23" xfId="0" applyFont="1" applyFill="1" applyBorder="1" applyAlignment="1">
      <alignment vertical="top"/>
    </xf>
    <xf numFmtId="167" fontId="31" fillId="0" borderId="0" xfId="0" applyNumberFormat="1" applyFont="1" applyFill="1" applyBorder="1" applyAlignment="1">
      <alignment horizontal="center" vertical="top"/>
    </xf>
    <xf numFmtId="4" fontId="31" fillId="0" borderId="21" xfId="0" applyNumberFormat="1" applyFont="1" applyFill="1" applyBorder="1" applyAlignment="1">
      <alignment horizontal="center" vertical="top"/>
    </xf>
    <xf numFmtId="168" fontId="31" fillId="0" borderId="11" xfId="0" applyNumberFormat="1" applyFont="1" applyFill="1" applyBorder="1" applyAlignment="1">
      <alignment horizontal="center" vertical="center"/>
    </xf>
    <xf numFmtId="168" fontId="31" fillId="0" borderId="7" xfId="0" applyNumberFormat="1" applyFont="1" applyFill="1" applyBorder="1" applyAlignment="1">
      <alignment horizontal="left" vertical="center"/>
    </xf>
    <xf numFmtId="168" fontId="31" fillId="0" borderId="9" xfId="0" applyNumberFormat="1" applyFont="1" applyFill="1" applyBorder="1" applyAlignment="1">
      <alignment horizontal="left" vertical="center"/>
    </xf>
    <xf numFmtId="168" fontId="31" fillId="0" borderId="9" xfId="0" applyNumberFormat="1" applyFont="1" applyFill="1" applyBorder="1" applyAlignment="1">
      <alignment horizontal="left" vertical="center" wrapText="1"/>
    </xf>
    <xf numFmtId="168" fontId="31" fillId="0" borderId="10" xfId="0" applyNumberFormat="1" applyFont="1" applyFill="1" applyBorder="1" applyAlignment="1">
      <alignment horizontal="left" vertical="center"/>
    </xf>
    <xf numFmtId="166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4" fontId="31" fillId="0" borderId="11" xfId="0" applyNumberFormat="1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center"/>
    </xf>
    <xf numFmtId="4" fontId="31" fillId="0" borderId="12" xfId="0" applyNumberFormat="1" applyFont="1" applyFill="1" applyBorder="1" applyAlignment="1">
      <alignment horizontal="center" vertical="center"/>
    </xf>
    <xf numFmtId="4" fontId="31" fillId="0" borderId="22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/>
    <xf numFmtId="0" fontId="32" fillId="0" borderId="5" xfId="0" applyFont="1" applyFill="1" applyBorder="1" applyAlignment="1">
      <alignment horizontal="left" vertical="top" wrapText="1"/>
    </xf>
    <xf numFmtId="164" fontId="32" fillId="0" borderId="5" xfId="0" applyNumberFormat="1" applyFont="1" applyFill="1" applyBorder="1" applyAlignment="1">
      <alignment horizontal="center" vertical="top"/>
    </xf>
    <xf numFmtId="164" fontId="32" fillId="0" borderId="6" xfId="0" applyNumberFormat="1" applyFont="1" applyFill="1" applyBorder="1" applyAlignment="1">
      <alignment horizontal="center" vertical="top"/>
    </xf>
    <xf numFmtId="165" fontId="32" fillId="0" borderId="5" xfId="0" applyNumberFormat="1" applyFont="1" applyFill="1" applyBorder="1" applyAlignment="1">
      <alignment horizontal="left" vertical="top" wrapText="1"/>
    </xf>
    <xf numFmtId="165" fontId="32" fillId="0" borderId="8" xfId="0" applyNumberFormat="1" applyFont="1" applyFill="1" applyBorder="1" applyAlignment="1">
      <alignment horizontal="left" vertical="top" wrapText="1"/>
    </xf>
    <xf numFmtId="168" fontId="31" fillId="0" borderId="11" xfId="0" applyNumberFormat="1" applyFont="1" applyFill="1" applyBorder="1" applyAlignment="1">
      <alignment horizontal="center" vertical="top"/>
    </xf>
    <xf numFmtId="164" fontId="32" fillId="0" borderId="7" xfId="0" applyNumberFormat="1" applyFont="1" applyFill="1" applyBorder="1" applyAlignment="1">
      <alignment horizontal="right" vertical="top" shrinkToFit="1"/>
    </xf>
    <xf numFmtId="165" fontId="33" fillId="0" borderId="8" xfId="0" applyNumberFormat="1" applyFont="1" applyFill="1" applyBorder="1" applyAlignment="1">
      <alignment vertical="top" wrapText="1"/>
    </xf>
    <xf numFmtId="165" fontId="32" fillId="0" borderId="6" xfId="0" applyNumberFormat="1" applyFont="1" applyFill="1" applyBorder="1" applyAlignment="1">
      <alignment vertical="top" wrapText="1"/>
    </xf>
    <xf numFmtId="165" fontId="32" fillId="0" borderId="1" xfId="0" applyNumberFormat="1" applyFont="1" applyFill="1" applyBorder="1" applyAlignment="1">
      <alignment horizontal="left" vertical="top" wrapText="1"/>
    </xf>
    <xf numFmtId="164" fontId="31" fillId="0" borderId="5" xfId="0" applyNumberFormat="1" applyFont="1" applyFill="1" applyBorder="1" applyAlignment="1">
      <alignment vertical="top" shrinkToFit="1"/>
    </xf>
    <xf numFmtId="164" fontId="32" fillId="0" borderId="5" xfId="0" applyNumberFormat="1" applyFont="1" applyFill="1" applyBorder="1" applyAlignment="1">
      <alignment vertical="top" shrinkToFit="1"/>
    </xf>
    <xf numFmtId="165" fontId="31" fillId="0" borderId="5" xfId="0" applyNumberFormat="1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1" fillId="0" borderId="8" xfId="0" applyNumberFormat="1" applyFont="1" applyFill="1" applyBorder="1" applyAlignment="1">
      <alignment horizontal="left" vertical="top" wrapText="1"/>
    </xf>
    <xf numFmtId="164" fontId="31" fillId="0" borderId="4" xfId="0" applyNumberFormat="1" applyFont="1" applyFill="1" applyBorder="1" applyAlignment="1">
      <alignment horizontal="right" vertical="top" shrinkToFit="1"/>
    </xf>
    <xf numFmtId="165" fontId="31" fillId="0" borderId="8" xfId="0" applyNumberFormat="1" applyFont="1" applyFill="1" applyBorder="1" applyAlignment="1">
      <alignment horizontal="left" vertical="top" wrapText="1"/>
    </xf>
    <xf numFmtId="4" fontId="32" fillId="0" borderId="5" xfId="0" applyNumberFormat="1" applyFont="1" applyFill="1" applyBorder="1" applyAlignment="1">
      <alignment horizontal="right" vertical="top" shrinkToFit="1"/>
    </xf>
    <xf numFmtId="165" fontId="31" fillId="0" borderId="11" xfId="0" applyNumberFormat="1" applyFont="1" applyFill="1" applyBorder="1" applyAlignment="1">
      <alignment vertical="top" wrapText="1"/>
    </xf>
    <xf numFmtId="165" fontId="31" fillId="0" borderId="21" xfId="0" applyNumberFormat="1" applyFont="1" applyFill="1" applyBorder="1" applyAlignment="1">
      <alignment vertical="top" wrapText="1"/>
    </xf>
    <xf numFmtId="0" fontId="31" fillId="0" borderId="8" xfId="0" applyFont="1" applyFill="1" applyBorder="1" applyAlignment="1">
      <alignment horizontal="left" vertical="top" wrapText="1"/>
    </xf>
    <xf numFmtId="165" fontId="33" fillId="0" borderId="6" xfId="0" applyNumberFormat="1" applyFont="1" applyFill="1" applyBorder="1" applyAlignment="1">
      <alignment horizontal="left" vertical="top" wrapText="1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vertical="top" wrapText="1"/>
    </xf>
    <xf numFmtId="164" fontId="32" fillId="0" borderId="1" xfId="0" applyNumberFormat="1" applyFont="1" applyFill="1" applyBorder="1" applyAlignment="1">
      <alignment horizontal="right" vertical="center" shrinkToFit="1"/>
    </xf>
    <xf numFmtId="164" fontId="32" fillId="0" borderId="0" xfId="0" applyNumberFormat="1" applyFont="1" applyFill="1" applyBorder="1" applyAlignment="1">
      <alignment horizontal="right" shrinkToFit="1"/>
    </xf>
    <xf numFmtId="4" fontId="2" fillId="3" borderId="0" xfId="0" applyNumberFormat="1" applyFont="1" applyFill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11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4" fontId="9" fillId="0" borderId="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4" fontId="9" fillId="0" borderId="11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4" fontId="9" fillId="0" borderId="12" xfId="0" applyNumberFormat="1" applyFont="1" applyFill="1" applyBorder="1" applyAlignment="1">
      <alignment horizontal="center" vertical="top" wrapText="1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left" vertical="top"/>
    </xf>
    <xf numFmtId="2" fontId="9" fillId="0" borderId="21" xfId="0" applyNumberFormat="1" applyFont="1" applyFill="1" applyBorder="1" applyAlignment="1">
      <alignment horizontal="left" vertical="top"/>
    </xf>
    <xf numFmtId="2" fontId="9" fillId="0" borderId="12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8" xfId="0" applyNumberFormat="1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top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0" fontId="9" fillId="0" borderId="9" xfId="0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10" xfId="0" applyNumberFormat="1" applyFont="1" applyFill="1" applyBorder="1" applyAlignment="1">
      <alignment horizontal="right" vertical="top" shrinkToFit="1"/>
    </xf>
    <xf numFmtId="0" fontId="9" fillId="0" borderId="7" xfId="0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shrinkToFit="1"/>
    </xf>
    <xf numFmtId="164" fontId="32" fillId="0" borderId="3" xfId="0" applyNumberFormat="1" applyFont="1" applyFill="1" applyBorder="1" applyAlignment="1">
      <alignment horizontal="center" vertical="center" shrinkToFit="1"/>
    </xf>
    <xf numFmtId="164" fontId="32" fillId="0" borderId="4" xfId="0" applyNumberFormat="1" applyFont="1" applyFill="1" applyBorder="1" applyAlignment="1">
      <alignment horizontal="center" vertical="center" shrinkToFit="1"/>
    </xf>
    <xf numFmtId="164" fontId="32" fillId="0" borderId="5" xfId="0" applyNumberFormat="1" applyFont="1" applyFill="1" applyBorder="1" applyAlignment="1">
      <alignment horizontal="center" vertical="top" wrapText="1"/>
    </xf>
    <xf numFmtId="164" fontId="32" fillId="0" borderId="6" xfId="0" applyNumberFormat="1" applyFont="1" applyFill="1" applyBorder="1" applyAlignment="1">
      <alignment horizontal="center" vertical="top" wrapText="1"/>
    </xf>
    <xf numFmtId="0" fontId="31" fillId="0" borderId="22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31" fillId="0" borderId="23" xfId="0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2" fontId="31" fillId="0" borderId="11" xfId="0" applyNumberFormat="1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/>
    </xf>
    <xf numFmtId="4" fontId="31" fillId="0" borderId="23" xfId="0" applyNumberFormat="1" applyFont="1" applyFill="1" applyBorder="1" applyAlignment="1">
      <alignment horizontal="center" vertical="center"/>
    </xf>
    <xf numFmtId="4" fontId="31" fillId="0" borderId="12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top"/>
    </xf>
    <xf numFmtId="0" fontId="31" fillId="0" borderId="21" xfId="0" applyFont="1" applyFill="1" applyBorder="1" applyAlignment="1">
      <alignment horizontal="left" vertical="top"/>
    </xf>
    <xf numFmtId="0" fontId="31" fillId="0" borderId="12" xfId="0" applyFont="1" applyFill="1" applyBorder="1" applyAlignment="1">
      <alignment horizontal="left" vertical="top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top"/>
    </xf>
    <xf numFmtId="0" fontId="31" fillId="0" borderId="23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167" fontId="31" fillId="0" borderId="11" xfId="0" applyNumberFormat="1" applyFont="1" applyFill="1" applyBorder="1" applyAlignment="1">
      <alignment horizontal="center" vertical="top"/>
    </xf>
    <xf numFmtId="167" fontId="31" fillId="0" borderId="21" xfId="0" applyNumberFormat="1" applyFont="1" applyFill="1" applyBorder="1" applyAlignment="1">
      <alignment horizontal="center" vertical="top"/>
    </xf>
    <xf numFmtId="167" fontId="31" fillId="0" borderId="12" xfId="0" applyNumberFormat="1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31" fillId="0" borderId="11" xfId="0" applyNumberFormat="1" applyFont="1" applyFill="1" applyBorder="1" applyAlignment="1">
      <alignment horizontal="center" vertical="top" wrapText="1"/>
    </xf>
    <xf numFmtId="4" fontId="31" fillId="0" borderId="21" xfId="0" applyNumberFormat="1" applyFont="1" applyFill="1" applyBorder="1" applyAlignment="1">
      <alignment horizontal="center" vertical="top" wrapText="1"/>
    </xf>
    <xf numFmtId="165" fontId="32" fillId="0" borderId="5" xfId="0" applyNumberFormat="1" applyFont="1" applyFill="1" applyBorder="1" applyAlignment="1">
      <alignment horizontal="left" vertical="top" wrapText="1"/>
    </xf>
    <xf numFmtId="165" fontId="32" fillId="0" borderId="8" xfId="0" applyNumberFormat="1" applyFont="1" applyFill="1" applyBorder="1" applyAlignment="1">
      <alignment horizontal="left" vertical="top" wrapText="1"/>
    </xf>
    <xf numFmtId="2" fontId="31" fillId="0" borderId="11" xfId="0" applyNumberFormat="1" applyFont="1" applyFill="1" applyBorder="1" applyAlignment="1">
      <alignment horizontal="left" vertical="top"/>
    </xf>
    <xf numFmtId="2" fontId="31" fillId="0" borderId="21" xfId="0" applyNumberFormat="1" applyFont="1" applyFill="1" applyBorder="1" applyAlignment="1">
      <alignment horizontal="left" vertical="top"/>
    </xf>
    <xf numFmtId="2" fontId="31" fillId="0" borderId="12" xfId="0" applyNumberFormat="1" applyFont="1" applyFill="1" applyBorder="1" applyAlignment="1">
      <alignment horizontal="left" vertical="top"/>
    </xf>
    <xf numFmtId="0" fontId="31" fillId="0" borderId="21" xfId="0" applyFont="1" applyFill="1" applyBorder="1" applyAlignment="1">
      <alignment horizontal="center" vertical="center"/>
    </xf>
    <xf numFmtId="0" fontId="31" fillId="0" borderId="0" xfId="0" applyFont="1" applyFill="1" applyAlignment="1"/>
    <xf numFmtId="165" fontId="32" fillId="0" borderId="5" xfId="0" applyNumberFormat="1" applyFont="1" applyFill="1" applyBorder="1" applyAlignment="1">
      <alignment horizontal="center" vertical="top" wrapText="1"/>
    </xf>
    <xf numFmtId="165" fontId="32" fillId="0" borderId="6" xfId="0" applyNumberFormat="1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164" fontId="32" fillId="0" borderId="5" xfId="0" applyNumberFormat="1" applyFont="1" applyFill="1" applyBorder="1" applyAlignment="1">
      <alignment horizontal="right" vertical="top" shrinkToFit="1"/>
    </xf>
    <xf numFmtId="164" fontId="32" fillId="0" borderId="6" xfId="0" applyNumberFormat="1" applyFont="1" applyFill="1" applyBorder="1" applyAlignment="1">
      <alignment horizontal="right" vertical="top" shrinkToFit="1"/>
    </xf>
    <xf numFmtId="164" fontId="32" fillId="0" borderId="5" xfId="0" applyNumberFormat="1" applyFont="1" applyFill="1" applyBorder="1" applyAlignment="1">
      <alignment horizontal="center" vertical="top"/>
    </xf>
    <xf numFmtId="164" fontId="32" fillId="0" borderId="6" xfId="0" applyNumberFormat="1" applyFont="1" applyFill="1" applyBorder="1" applyAlignment="1">
      <alignment horizontal="center" vertical="top"/>
    </xf>
    <xf numFmtId="4" fontId="31" fillId="0" borderId="9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left" vertical="center" wrapText="1"/>
    </xf>
    <xf numFmtId="165" fontId="32" fillId="0" borderId="4" xfId="0" applyNumberFormat="1" applyFont="1" applyFill="1" applyBorder="1" applyAlignment="1">
      <alignment horizontal="left" vertical="center" wrapText="1"/>
    </xf>
    <xf numFmtId="164" fontId="32" fillId="0" borderId="5" xfId="0" applyNumberFormat="1" applyFont="1" applyFill="1" applyBorder="1" applyAlignment="1">
      <alignment horizontal="center" vertical="top" shrinkToFit="1"/>
    </xf>
    <xf numFmtId="164" fontId="32" fillId="0" borderId="6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599" t="s">
        <v>92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7" ht="34.5" customHeight="1">
      <c r="A2" s="599" t="s">
        <v>106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600" t="s">
        <v>17</v>
      </c>
      <c r="B4" s="600" t="s">
        <v>18</v>
      </c>
      <c r="C4" s="602" t="s">
        <v>19</v>
      </c>
      <c r="D4" s="603"/>
      <c r="E4" s="603"/>
      <c r="F4" s="604"/>
      <c r="G4" s="602" t="s">
        <v>0</v>
      </c>
      <c r="H4" s="603"/>
      <c r="I4" s="603"/>
      <c r="J4" s="604"/>
      <c r="K4" s="605" t="s">
        <v>86</v>
      </c>
      <c r="L4" s="600" t="s">
        <v>20</v>
      </c>
      <c r="M4" s="5" t="s">
        <v>88</v>
      </c>
      <c r="P4" s="72"/>
    </row>
    <row r="5" spans="1:17" s="5" customFormat="1" ht="28.5" customHeight="1">
      <c r="A5" s="601"/>
      <c r="B5" s="601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606"/>
      <c r="L5" s="601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 t="shared" ref="C11:J11" si="0">C12+C39+C44</f>
        <v>411671.1961</v>
      </c>
      <c r="D11" s="200">
        <f t="shared" si="0"/>
        <v>695654.91963000002</v>
      </c>
      <c r="E11" s="200">
        <f t="shared" si="0"/>
        <v>72686.301000000007</v>
      </c>
      <c r="F11" s="200">
        <f t="shared" si="0"/>
        <v>1180012.4167300002</v>
      </c>
      <c r="G11" s="200">
        <f t="shared" si="0"/>
        <v>392782.30194999999</v>
      </c>
      <c r="H11" s="200">
        <f t="shared" si="0"/>
        <v>686901.35687999998</v>
      </c>
      <c r="I11" s="200">
        <f t="shared" si="0"/>
        <v>70289.759820000007</v>
      </c>
      <c r="J11" s="200">
        <f t="shared" si="0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581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581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1">D49+D58+D72+D76+D77</f>
        <v>471.911</v>
      </c>
      <c r="E48" s="200">
        <f t="shared" si="1"/>
        <v>165.816</v>
      </c>
      <c r="F48" s="200">
        <f t="shared" si="1"/>
        <v>108430.87940000001</v>
      </c>
      <c r="G48" s="200">
        <f t="shared" si="1"/>
        <v>106231.90675000001</v>
      </c>
      <c r="H48" s="200">
        <f t="shared" si="1"/>
        <v>471.91059999999999</v>
      </c>
      <c r="I48" s="200">
        <f t="shared" si="1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581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581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611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611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581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581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581"/>
    </row>
    <row r="81" spans="1:16" ht="322.5" customHeight="1">
      <c r="A81" s="21" t="s">
        <v>31</v>
      </c>
      <c r="B81" s="590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591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591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591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591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591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591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591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607"/>
      <c r="C90" s="584"/>
      <c r="D90" s="584"/>
      <c r="E90" s="609"/>
      <c r="F90" s="584"/>
      <c r="G90" s="584"/>
      <c r="H90" s="584"/>
      <c r="I90" s="584"/>
      <c r="J90" s="584"/>
      <c r="K90" s="586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608"/>
      <c r="C91" s="585"/>
      <c r="D91" s="585"/>
      <c r="E91" s="610"/>
      <c r="F91" s="585"/>
      <c r="G91" s="585"/>
      <c r="H91" s="585"/>
      <c r="I91" s="585"/>
      <c r="J91" s="585"/>
      <c r="K91" s="587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2">C94+C95+C93</f>
        <v>15565.648000000001</v>
      </c>
      <c r="D92" s="200">
        <f t="shared" si="2"/>
        <v>97349</v>
      </c>
      <c r="E92" s="200">
        <f t="shared" si="2"/>
        <v>11061.5</v>
      </c>
      <c r="F92" s="200">
        <f t="shared" si="2"/>
        <v>123976.148</v>
      </c>
      <c r="G92" s="200">
        <f t="shared" si="2"/>
        <v>14846.078450000001</v>
      </c>
      <c r="H92" s="200">
        <f t="shared" si="2"/>
        <v>93012.843609999996</v>
      </c>
      <c r="I92" s="200">
        <f t="shared" si="2"/>
        <v>11061.47834</v>
      </c>
      <c r="J92" s="200">
        <f t="shared" si="2"/>
        <v>118920.4004</v>
      </c>
      <c r="K92" s="99">
        <f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>J94*100/F94</f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>E95+D95+C95</f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>J95*100/F95</f>
        <v>99.098238715408129</v>
      </c>
      <c r="L95" s="26" t="s">
        <v>163</v>
      </c>
      <c r="P95" s="596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597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588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589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589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589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>E101+D101+C101</f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3">D103+D104+D106+D105</f>
        <v>0</v>
      </c>
      <c r="E102" s="200">
        <f t="shared" si="3"/>
        <v>0</v>
      </c>
      <c r="F102" s="200">
        <f t="shared" si="3"/>
        <v>193.71091999999999</v>
      </c>
      <c r="G102" s="200">
        <f>G103+G104+G106+G105</f>
        <v>183.23779999999999</v>
      </c>
      <c r="H102" s="200">
        <f t="shared" si="3"/>
        <v>0</v>
      </c>
      <c r="I102" s="200">
        <f t="shared" si="3"/>
        <v>0</v>
      </c>
      <c r="J102" s="200">
        <f t="shared" si="3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4">C111+C122</f>
        <v>28228.196</v>
      </c>
      <c r="D110" s="200">
        <f t="shared" si="4"/>
        <v>18390</v>
      </c>
      <c r="E110" s="201">
        <f t="shared" si="4"/>
        <v>0</v>
      </c>
      <c r="F110" s="200">
        <f t="shared" si="4"/>
        <v>46618.196000000004</v>
      </c>
      <c r="G110" s="200">
        <f t="shared" si="4"/>
        <v>24084.31727</v>
      </c>
      <c r="H110" s="200">
        <f t="shared" si="4"/>
        <v>18212.349460000001</v>
      </c>
      <c r="I110" s="200">
        <f t="shared" si="4"/>
        <v>0</v>
      </c>
      <c r="J110" s="200">
        <f t="shared" si="4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592" t="s">
        <v>49</v>
      </c>
      <c r="B131" s="594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593"/>
      <c r="B132" s="595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5">D134+D138+D139</f>
        <v>23300.6</v>
      </c>
      <c r="E133" s="203">
        <f t="shared" si="5"/>
        <v>61443.6</v>
      </c>
      <c r="F133" s="203">
        <f>F134+F138+F139</f>
        <v>111700.84320999999</v>
      </c>
      <c r="G133" s="203">
        <f t="shared" si="5"/>
        <v>26141.320469999999</v>
      </c>
      <c r="H133" s="203">
        <f t="shared" si="5"/>
        <v>21817.01309</v>
      </c>
      <c r="I133" s="203">
        <f t="shared" si="5"/>
        <v>61031.907509999997</v>
      </c>
      <c r="J133" s="203">
        <f t="shared" si="5"/>
        <v>108990.24107</v>
      </c>
      <c r="K133" s="99">
        <f t="shared" ref="K133:K140" si="6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6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6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6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582" t="s">
        <v>54</v>
      </c>
      <c r="B141" s="583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>J110+J133+J131+J97+J130+J101+J102+J47+J92+J107+J81+J48+J11+J123+J140+J10+J7</f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7">D143-D141</f>
        <v>-75667.889940000023</v>
      </c>
      <c r="E144" s="190">
        <f t="shared" si="7"/>
        <v>-18021.121499999979</v>
      </c>
      <c r="F144" s="190">
        <f t="shared" si="7"/>
        <v>-119269.46629000013</v>
      </c>
      <c r="G144" s="190">
        <f t="shared" si="7"/>
        <v>-519253.26784001006</v>
      </c>
      <c r="H144" s="190">
        <f t="shared" si="7"/>
        <v>-453720.32156999997</v>
      </c>
      <c r="I144" s="190">
        <f t="shared" si="7"/>
        <v>-178605.23701000001</v>
      </c>
      <c r="J144" s="190">
        <f t="shared" si="7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598" t="s">
        <v>110</v>
      </c>
      <c r="B153" s="598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  <mergeCell ref="R97:R100"/>
    <mergeCell ref="B81:B88"/>
    <mergeCell ref="A131:A132"/>
    <mergeCell ref="B131:B132"/>
    <mergeCell ref="P95:P96"/>
    <mergeCell ref="P78:P80"/>
    <mergeCell ref="A141:B141"/>
    <mergeCell ref="H90:H91"/>
    <mergeCell ref="I90:I91"/>
    <mergeCell ref="J90:J91"/>
    <mergeCell ref="K90:K91"/>
    <mergeCell ref="F90:F91"/>
    <mergeCell ref="G90:G91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" sqref="D2"/>
    </sheetView>
  </sheetViews>
  <sheetFormatPr defaultRowHeight="15"/>
  <cols>
    <col min="1" max="1" width="15.140625" customWidth="1"/>
    <col min="4" max="4" width="11" customWidth="1"/>
  </cols>
  <sheetData>
    <row r="1" spans="1:4">
      <c r="A1">
        <v>23862.6</v>
      </c>
      <c r="D1" s="309">
        <v>16079</v>
      </c>
    </row>
    <row r="2" spans="1:4">
      <c r="A2">
        <v>1606.09</v>
      </c>
      <c r="D2" s="309">
        <v>2554</v>
      </c>
    </row>
    <row r="3" spans="1:4">
      <c r="A3">
        <v>217.85</v>
      </c>
      <c r="D3" s="309">
        <v>256</v>
      </c>
    </row>
    <row r="4" spans="1:4">
      <c r="A4">
        <v>19.399999999999999</v>
      </c>
      <c r="D4" s="309">
        <v>211</v>
      </c>
    </row>
    <row r="5" spans="1:4">
      <c r="A5">
        <v>6.79</v>
      </c>
      <c r="D5">
        <f>SUM(D1:D4)</f>
        <v>19100</v>
      </c>
    </row>
    <row r="6" spans="1:4">
      <c r="A6">
        <v>3.1</v>
      </c>
      <c r="D6">
        <v>19100</v>
      </c>
    </row>
    <row r="7" spans="1:4">
      <c r="A7">
        <v>3179.6</v>
      </c>
      <c r="D7">
        <f>D6-D5</f>
        <v>0</v>
      </c>
    </row>
    <row r="8" spans="1:4">
      <c r="A8">
        <v>2449.33</v>
      </c>
    </row>
    <row r="9" spans="1:4">
      <c r="A9">
        <v>395.64</v>
      </c>
    </row>
    <row r="10" spans="1:4">
      <c r="A10">
        <v>100</v>
      </c>
    </row>
    <row r="11" spans="1:4">
      <c r="A11">
        <f>SUM(A1:A10)</f>
        <v>31840.399999999994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:I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8"/>
  <sheetViews>
    <sheetView zoomScale="60" zoomScaleNormal="60" zoomScaleSheetLayoutView="50" workbookViewId="0">
      <pane ySplit="5" topLeftCell="A142" activePane="bottomLeft" state="frozen"/>
      <selection pane="bottomLeft" activeCell="L193" sqref="L193"/>
    </sheetView>
  </sheetViews>
  <sheetFormatPr defaultColWidth="9.140625" defaultRowHeight="18.75"/>
  <cols>
    <col min="1" max="1" width="7.5703125" style="205" customWidth="1"/>
    <col min="2" max="2" width="38.7109375" style="205" customWidth="1"/>
    <col min="3" max="5" width="19" style="280" bestFit="1" customWidth="1"/>
    <col min="6" max="6" width="21.28515625" style="281" bestFit="1" customWidth="1"/>
    <col min="7" max="7" width="21.140625" style="280" customWidth="1"/>
    <col min="8" max="8" width="20.140625" style="280" customWidth="1"/>
    <col min="9" max="9" width="20.28515625" style="280" customWidth="1"/>
    <col min="10" max="10" width="19" style="281" bestFit="1" customWidth="1"/>
    <col min="11" max="11" width="20.85546875" style="251" customWidth="1"/>
    <col min="12" max="12" width="145.7109375" style="205" customWidth="1"/>
    <col min="13" max="13" width="17.140625" style="252" hidden="1" customWidth="1"/>
    <col min="14" max="14" width="18.7109375" style="219" hidden="1" customWidth="1"/>
    <col min="15" max="15" width="17.140625" style="252" customWidth="1"/>
    <col min="16" max="16" width="16.85546875" style="342" customWidth="1"/>
    <col min="17" max="17" width="15.42578125" style="343" customWidth="1"/>
    <col min="18" max="18" width="13.28515625" style="244" customWidth="1"/>
    <col min="19" max="19" width="12.5703125" style="244" customWidth="1"/>
    <col min="20" max="20" width="15.5703125" style="244" customWidth="1"/>
    <col min="21" max="21" width="13.140625" style="244" customWidth="1"/>
    <col min="22" max="22" width="14.85546875" style="244" customWidth="1"/>
    <col min="23" max="23" width="21.85546875" style="244" customWidth="1"/>
    <col min="24" max="24" width="9.140625" style="244"/>
    <col min="25" max="25" width="11" style="244" customWidth="1"/>
    <col min="26" max="26" width="10.7109375" style="244" customWidth="1"/>
    <col min="27" max="29" width="9.140625" style="205"/>
    <col min="30" max="30" width="10.7109375" style="205" customWidth="1"/>
    <col min="31" max="34" width="9.140625" style="205"/>
    <col min="35" max="35" width="10.85546875" style="205" customWidth="1"/>
    <col min="36" max="36" width="13.85546875" style="205" customWidth="1"/>
    <col min="37" max="37" width="11.42578125" style="205" customWidth="1"/>
    <col min="38" max="39" width="9.140625" style="205"/>
    <col min="40" max="40" width="12.42578125" style="205" customWidth="1"/>
    <col min="41" max="69" width="9.140625" style="205"/>
    <col min="70" max="70" width="21.85546875" style="205" customWidth="1"/>
    <col min="71" max="16384" width="9.140625" style="205"/>
  </cols>
  <sheetData>
    <row r="1" spans="1:26" ht="33.75" customHeight="1">
      <c r="A1" s="670" t="s">
        <v>92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26" ht="34.5" customHeight="1">
      <c r="A2" s="670" t="s">
        <v>222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R2" s="265"/>
    </row>
    <row r="3" spans="1:26" ht="20.25" customHeight="1">
      <c r="A3" s="206"/>
      <c r="B3" s="206"/>
      <c r="K3" s="247"/>
      <c r="L3" s="207" t="s">
        <v>16</v>
      </c>
      <c r="R3" s="265"/>
      <c r="S3" s="265"/>
      <c r="T3" s="265"/>
    </row>
    <row r="4" spans="1:26" s="208" customFormat="1" ht="30" customHeight="1">
      <c r="A4" s="671" t="s">
        <v>17</v>
      </c>
      <c r="B4" s="671" t="s">
        <v>18</v>
      </c>
      <c r="C4" s="673" t="s">
        <v>19</v>
      </c>
      <c r="D4" s="674"/>
      <c r="E4" s="674"/>
      <c r="F4" s="675"/>
      <c r="G4" s="673" t="s">
        <v>0</v>
      </c>
      <c r="H4" s="674"/>
      <c r="I4" s="674"/>
      <c r="J4" s="675"/>
      <c r="K4" s="676" t="s">
        <v>211</v>
      </c>
      <c r="L4" s="671" t="s">
        <v>20</v>
      </c>
      <c r="M4" s="253"/>
      <c r="N4" s="255"/>
      <c r="O4" s="253"/>
      <c r="P4" s="327"/>
      <c r="Q4" s="328"/>
      <c r="R4" s="267"/>
      <c r="S4" s="267"/>
      <c r="T4" s="266"/>
      <c r="U4" s="266"/>
      <c r="V4" s="266"/>
      <c r="W4" s="266"/>
      <c r="X4" s="266"/>
      <c r="Y4" s="266"/>
      <c r="Z4" s="266"/>
    </row>
    <row r="5" spans="1:26" s="208" customFormat="1" ht="28.5" customHeight="1">
      <c r="A5" s="672"/>
      <c r="B5" s="672"/>
      <c r="C5" s="282" t="s">
        <v>21</v>
      </c>
      <c r="D5" s="282" t="s">
        <v>22</v>
      </c>
      <c r="E5" s="282" t="s">
        <v>23</v>
      </c>
      <c r="F5" s="282" t="s">
        <v>24</v>
      </c>
      <c r="G5" s="282" t="s">
        <v>21</v>
      </c>
      <c r="H5" s="282" t="s">
        <v>22</v>
      </c>
      <c r="I5" s="282" t="s">
        <v>23</v>
      </c>
      <c r="J5" s="282" t="s">
        <v>24</v>
      </c>
      <c r="K5" s="677"/>
      <c r="L5" s="672"/>
      <c r="M5" s="253"/>
      <c r="N5" s="255"/>
      <c r="O5" s="253"/>
      <c r="P5" s="327"/>
      <c r="Q5" s="328"/>
      <c r="R5" s="266"/>
      <c r="S5" s="267"/>
      <c r="T5" s="266"/>
      <c r="U5" s="266"/>
      <c r="V5" s="266"/>
      <c r="W5" s="266"/>
      <c r="X5" s="266"/>
      <c r="Y5" s="266"/>
      <c r="Z5" s="266"/>
    </row>
    <row r="6" spans="1:26" s="211" customFormat="1" ht="18.75" customHeight="1">
      <c r="A6" s="209">
        <v>1</v>
      </c>
      <c r="B6" s="210">
        <v>2</v>
      </c>
      <c r="C6" s="245">
        <v>3</v>
      </c>
      <c r="D6" s="245">
        <v>4</v>
      </c>
      <c r="E6" s="245">
        <v>5</v>
      </c>
      <c r="F6" s="245">
        <v>6</v>
      </c>
      <c r="G6" s="245">
        <v>7</v>
      </c>
      <c r="H6" s="245">
        <v>8</v>
      </c>
      <c r="I6" s="245">
        <v>9</v>
      </c>
      <c r="J6" s="245">
        <v>10</v>
      </c>
      <c r="K6" s="286">
        <v>11</v>
      </c>
      <c r="L6" s="210">
        <v>12</v>
      </c>
      <c r="M6" s="254"/>
      <c r="N6" s="212"/>
      <c r="O6" s="254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369.75" customHeight="1">
      <c r="A7" s="351" t="s">
        <v>25</v>
      </c>
      <c r="B7" s="295" t="s">
        <v>90</v>
      </c>
      <c r="C7" s="365">
        <v>45729.7</v>
      </c>
      <c r="D7" s="363">
        <v>4208.1000000000004</v>
      </c>
      <c r="E7" s="363">
        <v>1188.5999999999999</v>
      </c>
      <c r="F7" s="363">
        <f>E7+D7+C7</f>
        <v>51126.399999999994</v>
      </c>
      <c r="G7" s="363">
        <v>37268.5</v>
      </c>
      <c r="H7" s="363">
        <v>4206.3</v>
      </c>
      <c r="I7" s="363">
        <v>1091.3</v>
      </c>
      <c r="J7" s="363">
        <f>G7+H7+I7</f>
        <v>42566.100000000006</v>
      </c>
      <c r="K7" s="377">
        <f>J7/F7*100</f>
        <v>83.256595418413994</v>
      </c>
      <c r="L7" s="8" t="s">
        <v>354</v>
      </c>
      <c r="M7" s="353">
        <f>124+19.3+165.3+19.3+120.9+200+182.6+220+220+183.4+183.4+120.9+111.8+2.3</f>
        <v>1873.2000000000003</v>
      </c>
      <c r="N7" s="637">
        <f>M7+M9+M10+M11+M12+M13+M14+M16</f>
        <v>21214.799999999999</v>
      </c>
      <c r="O7" s="667">
        <f>124+19.3+165.3+19.3+120.9+200+182.6+220+220+183.4+183.4+120.9+111.8+742.3+800+27.9+200+183.4+3.1+20</f>
        <v>3847.6000000000004</v>
      </c>
      <c r="P7" s="612">
        <f>O7+O9+O10</f>
        <v>7967</v>
      </c>
      <c r="Q7" s="354">
        <f>O7+O9+O10+O11+O12+O13+O14+O16</f>
        <v>42566.100000000006</v>
      </c>
      <c r="R7" s="264">
        <f>J7-Q7</f>
        <v>0</v>
      </c>
    </row>
    <row r="8" spans="1:26" ht="85.5" customHeight="1">
      <c r="A8" s="77"/>
      <c r="B8" s="296"/>
      <c r="C8" s="303"/>
      <c r="D8" s="171"/>
      <c r="E8" s="171"/>
      <c r="F8" s="171"/>
      <c r="G8" s="171"/>
      <c r="H8" s="171"/>
      <c r="I8" s="171"/>
      <c r="J8" s="171"/>
      <c r="K8" s="349"/>
      <c r="L8" s="12" t="s">
        <v>241</v>
      </c>
      <c r="M8" s="340"/>
      <c r="N8" s="638"/>
      <c r="O8" s="625"/>
      <c r="P8" s="613"/>
      <c r="Q8" s="342"/>
    </row>
    <row r="9" spans="1:26" ht="117" customHeight="1">
      <c r="A9" s="77"/>
      <c r="B9" s="296"/>
      <c r="C9" s="303"/>
      <c r="D9" s="171"/>
      <c r="E9" s="171"/>
      <c r="F9" s="171"/>
      <c r="G9" s="171"/>
      <c r="H9" s="171"/>
      <c r="I9" s="171"/>
      <c r="J9" s="171"/>
      <c r="K9" s="349"/>
      <c r="L9" s="12" t="s">
        <v>216</v>
      </c>
      <c r="M9" s="340">
        <f>35.7+815.5</f>
        <v>851.2</v>
      </c>
      <c r="N9" s="638"/>
      <c r="O9" s="340">
        <f>35.7+815.5</f>
        <v>851.2</v>
      </c>
      <c r="P9" s="613"/>
    </row>
    <row r="10" spans="1:26" ht="120" customHeight="1">
      <c r="A10" s="77"/>
      <c r="B10" s="296"/>
      <c r="C10" s="303"/>
      <c r="D10" s="171"/>
      <c r="E10" s="171"/>
      <c r="F10" s="171"/>
      <c r="G10" s="171"/>
      <c r="H10" s="171"/>
      <c r="I10" s="171"/>
      <c r="J10" s="171"/>
      <c r="K10" s="349"/>
      <c r="L10" s="12" t="s">
        <v>329</v>
      </c>
      <c r="M10" s="340">
        <f>486.3+2.1+203.8</f>
        <v>692.2</v>
      </c>
      <c r="N10" s="638"/>
      <c r="O10" s="273">
        <f>94.7+3173.5</f>
        <v>3268.2</v>
      </c>
      <c r="P10" s="614"/>
    </row>
    <row r="11" spans="1:26" ht="105.75" customHeight="1">
      <c r="A11" s="77"/>
      <c r="B11" s="296"/>
      <c r="C11" s="303"/>
      <c r="D11" s="171"/>
      <c r="E11" s="171"/>
      <c r="F11" s="171"/>
      <c r="G11" s="171"/>
      <c r="H11" s="171"/>
      <c r="I11" s="171"/>
      <c r="J11" s="171"/>
      <c r="K11" s="349"/>
      <c r="L11" s="12" t="s">
        <v>351</v>
      </c>
      <c r="M11" s="340">
        <v>30</v>
      </c>
      <c r="N11" s="638"/>
      <c r="O11" s="252">
        <f>30+3.9+4+120</f>
        <v>157.9</v>
      </c>
    </row>
    <row r="12" spans="1:26" ht="319.5" customHeight="1">
      <c r="A12" s="217"/>
      <c r="B12" s="297"/>
      <c r="C12" s="304"/>
      <c r="D12" s="172"/>
      <c r="E12" s="172"/>
      <c r="F12" s="171"/>
      <c r="G12" s="172"/>
      <c r="H12" s="172"/>
      <c r="I12" s="172"/>
      <c r="J12" s="171"/>
      <c r="K12" s="349"/>
      <c r="L12" s="71" t="s">
        <v>328</v>
      </c>
      <c r="M12" s="340">
        <f>4942.6+106+128.5+1407.2+951.4+64.6+90.4+3.2+4.5+156.4+146.1+10.2+3.3</f>
        <v>8014.4</v>
      </c>
      <c r="N12" s="638"/>
      <c r="O12" s="353">
        <f>6546.3+109.7+128.5+2033.7+114.6+64.6+126.8+3.2+4.5+247.1+1426.6+11.9+5.1</f>
        <v>10822.600000000002</v>
      </c>
      <c r="P12" s="612">
        <f>O12+O13+O14</f>
        <v>15212.800000000003</v>
      </c>
    </row>
    <row r="13" spans="1:26" ht="45.75" customHeight="1">
      <c r="A13" s="217"/>
      <c r="B13" s="297"/>
      <c r="C13" s="304"/>
      <c r="D13" s="172"/>
      <c r="E13" s="172"/>
      <c r="F13" s="171"/>
      <c r="G13" s="172"/>
      <c r="H13" s="172"/>
      <c r="I13" s="172"/>
      <c r="J13" s="171"/>
      <c r="K13" s="349"/>
      <c r="L13" s="71" t="s">
        <v>242</v>
      </c>
      <c r="M13" s="340">
        <v>146.30000000000001</v>
      </c>
      <c r="N13" s="638"/>
      <c r="O13" s="340">
        <v>195</v>
      </c>
      <c r="P13" s="613"/>
    </row>
    <row r="14" spans="1:26" ht="92.25" customHeight="1">
      <c r="A14" s="217"/>
      <c r="B14" s="297"/>
      <c r="C14" s="304"/>
      <c r="D14" s="172"/>
      <c r="E14" s="172"/>
      <c r="F14" s="171"/>
      <c r="G14" s="172"/>
      <c r="H14" s="172"/>
      <c r="I14" s="172"/>
      <c r="J14" s="171"/>
      <c r="K14" s="349"/>
      <c r="L14" s="71" t="s">
        <v>243</v>
      </c>
      <c r="M14" s="340">
        <f>562.7+169.9+1453.2+23.2+3+102.8+28+5.5+0.2</f>
        <v>2348.5</v>
      </c>
      <c r="N14" s="638"/>
      <c r="O14" s="273">
        <f>732.3+221.2+2863.1+125+4.1+112.5+131.3+5.5+0.2</f>
        <v>4195.2</v>
      </c>
      <c r="P14" s="614"/>
    </row>
    <row r="15" spans="1:26" ht="77.25" hidden="1" customHeight="1">
      <c r="A15" s="217"/>
      <c r="B15" s="297"/>
      <c r="C15" s="304"/>
      <c r="D15" s="172"/>
      <c r="E15" s="172"/>
      <c r="F15" s="171"/>
      <c r="G15" s="172"/>
      <c r="H15" s="172"/>
      <c r="I15" s="172"/>
      <c r="J15" s="171"/>
      <c r="K15" s="349"/>
      <c r="L15" s="71"/>
      <c r="M15" s="340"/>
      <c r="N15" s="638"/>
    </row>
    <row r="16" spans="1:26" ht="51" customHeight="1">
      <c r="A16" s="213"/>
      <c r="B16" s="297"/>
      <c r="C16" s="304"/>
      <c r="D16" s="367"/>
      <c r="E16" s="367"/>
      <c r="F16" s="366"/>
      <c r="G16" s="367"/>
      <c r="H16" s="367"/>
      <c r="I16" s="367"/>
      <c r="J16" s="366"/>
      <c r="K16" s="350"/>
      <c r="L16" s="28" t="s">
        <v>352</v>
      </c>
      <c r="M16" s="273">
        <v>7259</v>
      </c>
      <c r="N16" s="639"/>
      <c r="O16" s="252">
        <v>19228.400000000001</v>
      </c>
    </row>
    <row r="17" spans="1:20" ht="162" customHeight="1">
      <c r="A17" s="215" t="s">
        <v>26</v>
      </c>
      <c r="B17" s="257" t="s">
        <v>85</v>
      </c>
      <c r="C17" s="104">
        <v>1705</v>
      </c>
      <c r="D17" s="104">
        <v>1500</v>
      </c>
      <c r="E17" s="104">
        <v>0</v>
      </c>
      <c r="F17" s="104">
        <f>E17+D17+C17</f>
        <v>3205</v>
      </c>
      <c r="G17" s="382">
        <f>1703.2</f>
        <v>1703.2</v>
      </c>
      <c r="H17" s="382">
        <f>1466.4</f>
        <v>1466.4</v>
      </c>
      <c r="I17" s="104">
        <v>0</v>
      </c>
      <c r="J17" s="104">
        <f>SUM(G17:I17)</f>
        <v>3169.6000000000004</v>
      </c>
      <c r="K17" s="102">
        <f>J17/F17*100</f>
        <v>98.895475819032768</v>
      </c>
      <c r="L17" s="131" t="s">
        <v>337</v>
      </c>
      <c r="O17" s="252">
        <f>173.2+1466.4+30+1500</f>
        <v>3169.6000000000004</v>
      </c>
      <c r="P17" s="342">
        <f>J17-O17</f>
        <v>0</v>
      </c>
    </row>
    <row r="18" spans="1:20" ht="67.5" customHeight="1">
      <c r="A18" s="215" t="s">
        <v>27</v>
      </c>
      <c r="B18" s="162" t="s">
        <v>84</v>
      </c>
      <c r="C18" s="104">
        <f>C19+C58+C65</f>
        <v>410209.7</v>
      </c>
      <c r="D18" s="104">
        <f t="shared" ref="D18:J18" si="0">D19+D58+D65</f>
        <v>805399</v>
      </c>
      <c r="E18" s="104">
        <f t="shared" si="0"/>
        <v>91801.2</v>
      </c>
      <c r="F18" s="104">
        <f t="shared" si="0"/>
        <v>1307409.8999999999</v>
      </c>
      <c r="G18" s="104">
        <f t="shared" si="0"/>
        <v>383195.3</v>
      </c>
      <c r="H18" s="104">
        <f t="shared" si="0"/>
        <v>785791.7</v>
      </c>
      <c r="I18" s="104">
        <f t="shared" si="0"/>
        <v>90644</v>
      </c>
      <c r="J18" s="104">
        <f t="shared" si="0"/>
        <v>1259631</v>
      </c>
      <c r="K18" s="102">
        <f>J18*100/F18</f>
        <v>96.345530196765381</v>
      </c>
      <c r="L18" s="337"/>
      <c r="O18" s="336"/>
    </row>
    <row r="19" spans="1:20" ht="123.75" customHeight="1">
      <c r="A19" s="216" t="s">
        <v>58</v>
      </c>
      <c r="B19" s="8" t="s">
        <v>33</v>
      </c>
      <c r="C19" s="165">
        <v>333311.7</v>
      </c>
      <c r="D19" s="165">
        <v>805399</v>
      </c>
      <c r="E19" s="165">
        <v>91801.2</v>
      </c>
      <c r="F19" s="166">
        <f>E19+D19+C19</f>
        <v>1230511.8999999999</v>
      </c>
      <c r="G19" s="165">
        <v>307541.5</v>
      </c>
      <c r="H19" s="165">
        <v>785791.7</v>
      </c>
      <c r="I19" s="165">
        <v>90644</v>
      </c>
      <c r="J19" s="166">
        <f>G19+H19+I19</f>
        <v>1183977.2</v>
      </c>
      <c r="K19" s="377">
        <f>J19*100/F19</f>
        <v>96.218264935105466</v>
      </c>
      <c r="L19" s="163" t="s">
        <v>353</v>
      </c>
      <c r="M19" s="353">
        <f>26980.6+43.6+157.3+9698.1+1438.9+583.6+2486.6+67.4+1200.4</f>
        <v>42656.5</v>
      </c>
      <c r="N19" s="668">
        <f>SUM(M19:M57)</f>
        <v>829670.5</v>
      </c>
      <c r="O19" s="325">
        <f>37282.57+65.93+239.01+12644.54+2137.95+731.41+3701.24+82.67+1864.81</f>
        <v>58750.13</v>
      </c>
      <c r="Q19" s="342"/>
    </row>
    <row r="20" spans="1:20" ht="79.5" hidden="1" customHeight="1">
      <c r="A20" s="217"/>
      <c r="B20" s="12"/>
      <c r="C20" s="175"/>
      <c r="D20" s="175"/>
      <c r="E20" s="175"/>
      <c r="F20" s="176"/>
      <c r="G20" s="175"/>
      <c r="H20" s="175"/>
      <c r="I20" s="175"/>
      <c r="J20" s="176"/>
      <c r="K20" s="349"/>
      <c r="L20" s="71" t="s">
        <v>93</v>
      </c>
      <c r="M20" s="340"/>
      <c r="N20" s="638"/>
    </row>
    <row r="21" spans="1:20" ht="70.5" customHeight="1">
      <c r="A21" s="217"/>
      <c r="B21" s="12"/>
      <c r="C21" s="175"/>
      <c r="D21" s="175"/>
      <c r="E21" s="175"/>
      <c r="F21" s="176"/>
      <c r="G21" s="175"/>
      <c r="H21" s="175"/>
      <c r="I21" s="175"/>
      <c r="J21" s="176"/>
      <c r="K21" s="349"/>
      <c r="L21" s="12" t="s">
        <v>282</v>
      </c>
      <c r="M21" s="340">
        <v>72.75</v>
      </c>
      <c r="N21" s="638"/>
      <c r="O21" s="252">
        <v>72.739999999999995</v>
      </c>
    </row>
    <row r="22" spans="1:20" ht="409.5" customHeight="1">
      <c r="A22" s="218"/>
      <c r="B22" s="12"/>
      <c r="C22" s="175"/>
      <c r="D22" s="175"/>
      <c r="E22" s="175"/>
      <c r="F22" s="176"/>
      <c r="G22" s="175"/>
      <c r="H22" s="175"/>
      <c r="I22" s="175"/>
      <c r="J22" s="176"/>
      <c r="K22" s="349"/>
      <c r="L22" s="12" t="s">
        <v>284</v>
      </c>
      <c r="M22" s="340">
        <f>106+199.1+122.1+138.3+23.4+8.4+161.6+130+55+37.9+4+9.5+3.8+122.4+40+2510.2+86.5+68.7+35+154.2+13.6+597.8+1133.3+1410.6+5+5</f>
        <v>7181.4</v>
      </c>
      <c r="N22" s="638"/>
      <c r="O22" s="669">
        <f>106+199.1+122.1+138.32+22.75+23.44+112.27+168.57+130+55+37.9+8+13+7.8+4+122.4+53.84+40+2510.2+165.44+80.98+35+154.2+13.6+12.3+597.85+1133.3+1410.6+5+5+52.45+167.91+24.24+21.73+50.2+96.6</f>
        <v>7901.09</v>
      </c>
      <c r="P22" s="645"/>
    </row>
    <row r="23" spans="1:20" ht="83.25" customHeight="1">
      <c r="A23" s="218"/>
      <c r="B23" s="12"/>
      <c r="C23" s="175"/>
      <c r="D23" s="175"/>
      <c r="E23" s="175"/>
      <c r="F23" s="176"/>
      <c r="G23" s="175"/>
      <c r="H23" s="175"/>
      <c r="I23" s="175"/>
      <c r="J23" s="176"/>
      <c r="K23" s="349"/>
      <c r="L23" s="12" t="s">
        <v>283</v>
      </c>
      <c r="M23" s="340"/>
      <c r="N23" s="638"/>
      <c r="O23" s="669"/>
      <c r="P23" s="645"/>
    </row>
    <row r="24" spans="1:20" hidden="1">
      <c r="A24" s="218"/>
      <c r="B24" s="12"/>
      <c r="C24" s="175"/>
      <c r="D24" s="175"/>
      <c r="E24" s="175"/>
      <c r="F24" s="176"/>
      <c r="G24" s="175"/>
      <c r="H24" s="175"/>
      <c r="I24" s="175"/>
      <c r="J24" s="176"/>
      <c r="K24" s="349"/>
      <c r="L24" s="12"/>
      <c r="M24" s="340"/>
      <c r="N24" s="638"/>
    </row>
    <row r="25" spans="1:20" ht="99.75" customHeight="1">
      <c r="A25" s="218"/>
      <c r="B25" s="12"/>
      <c r="C25" s="175"/>
      <c r="D25" s="175"/>
      <c r="E25" s="175"/>
      <c r="F25" s="176"/>
      <c r="G25" s="175"/>
      <c r="H25" s="175"/>
      <c r="I25" s="175"/>
      <c r="J25" s="176"/>
      <c r="K25" s="349"/>
      <c r="L25" s="12" t="s">
        <v>285</v>
      </c>
      <c r="M25" s="340">
        <f>97856.7+35.25+1347.53+947.24+28.09</f>
        <v>100214.81</v>
      </c>
      <c r="N25" s="638"/>
      <c r="O25" s="252">
        <f>139686.24+75.07+1815.9+694.18+605.96</f>
        <v>142877.34999999998</v>
      </c>
    </row>
    <row r="26" spans="1:20" ht="75" customHeight="1">
      <c r="A26" s="218"/>
      <c r="B26" s="12"/>
      <c r="C26" s="175"/>
      <c r="D26" s="175"/>
      <c r="E26" s="175"/>
      <c r="F26" s="176"/>
      <c r="G26" s="175"/>
      <c r="H26" s="175"/>
      <c r="I26" s="175"/>
      <c r="J26" s="176"/>
      <c r="K26" s="349"/>
      <c r="L26" s="71" t="s">
        <v>286</v>
      </c>
      <c r="M26" s="340">
        <f>2964.54+60.5</f>
        <v>3025.04</v>
      </c>
      <c r="N26" s="638"/>
      <c r="O26" s="252">
        <f>3202+65.35</f>
        <v>3267.35</v>
      </c>
    </row>
    <row r="27" spans="1:20" hidden="1">
      <c r="A27" s="218"/>
      <c r="B27" s="12"/>
      <c r="C27" s="175"/>
      <c r="D27" s="175"/>
      <c r="E27" s="175"/>
      <c r="F27" s="176"/>
      <c r="G27" s="175"/>
      <c r="H27" s="175"/>
      <c r="I27" s="175"/>
      <c r="J27" s="176"/>
      <c r="K27" s="349"/>
      <c r="L27" s="12"/>
      <c r="M27" s="340"/>
      <c r="N27" s="638"/>
    </row>
    <row r="28" spans="1:20" hidden="1">
      <c r="A28" s="218"/>
      <c r="B28" s="12"/>
      <c r="C28" s="175"/>
      <c r="D28" s="175"/>
      <c r="E28" s="175"/>
      <c r="F28" s="176"/>
      <c r="G28" s="175"/>
      <c r="H28" s="175"/>
      <c r="I28" s="175"/>
      <c r="J28" s="176"/>
      <c r="K28" s="349"/>
      <c r="L28" s="71"/>
      <c r="M28" s="340"/>
      <c r="N28" s="638"/>
    </row>
    <row r="29" spans="1:20" ht="113.25" customHeight="1">
      <c r="A29" s="218"/>
      <c r="B29" s="12"/>
      <c r="C29" s="175"/>
      <c r="D29" s="175"/>
      <c r="E29" s="175"/>
      <c r="F29" s="176"/>
      <c r="G29" s="175"/>
      <c r="H29" s="175"/>
      <c r="I29" s="175"/>
      <c r="J29" s="176"/>
      <c r="K29" s="349"/>
      <c r="L29" s="12" t="s">
        <v>338</v>
      </c>
      <c r="M29" s="340">
        <f>37256.75+165.4+1576.31+37236.23+36.3+7690.44+4011.3+7496.32+302.86+10829.39</f>
        <v>106601.30000000002</v>
      </c>
      <c r="N29" s="638"/>
      <c r="O29" s="252">
        <f>55647.13+248.47+2901.44+53065.86+197.69+12427.58+5193.37+11584.88+770.17+16904.28</f>
        <v>158940.87</v>
      </c>
    </row>
    <row r="30" spans="1:20" ht="63" hidden="1" customHeight="1">
      <c r="A30" s="218"/>
      <c r="B30" s="12"/>
      <c r="C30" s="175"/>
      <c r="D30" s="175"/>
      <c r="E30" s="175"/>
      <c r="F30" s="176"/>
      <c r="G30" s="175"/>
      <c r="H30" s="175"/>
      <c r="I30" s="175"/>
      <c r="J30" s="176"/>
      <c r="K30" s="349"/>
      <c r="L30" s="71"/>
      <c r="M30" s="340"/>
      <c r="N30" s="638"/>
    </row>
    <row r="31" spans="1:20" ht="129.75" customHeight="1">
      <c r="A31" s="218"/>
      <c r="B31" s="12"/>
      <c r="C31" s="175"/>
      <c r="D31" s="175"/>
      <c r="E31" s="175"/>
      <c r="F31" s="176"/>
      <c r="G31" s="175"/>
      <c r="H31" s="175"/>
      <c r="I31" s="175"/>
      <c r="J31" s="176"/>
      <c r="K31" s="349"/>
      <c r="L31" s="12" t="s">
        <v>287</v>
      </c>
      <c r="M31" s="340">
        <f>34.78+10+145.96+116.13</f>
        <v>306.87</v>
      </c>
      <c r="N31" s="638"/>
      <c r="O31" s="252">
        <f>34.78+5+5+145.96+116.13+599</f>
        <v>905.87</v>
      </c>
    </row>
    <row r="32" spans="1:20" ht="336" customHeight="1">
      <c r="A32" s="218"/>
      <c r="B32" s="12"/>
      <c r="C32" s="175"/>
      <c r="D32" s="175"/>
      <c r="E32" s="175"/>
      <c r="F32" s="176"/>
      <c r="G32" s="175"/>
      <c r="H32" s="175"/>
      <c r="I32" s="175"/>
      <c r="J32" s="176"/>
      <c r="K32" s="137"/>
      <c r="L32" s="355" t="s">
        <v>331</v>
      </c>
      <c r="M32" s="340">
        <f>538.42+136+23.1+70+599.99+58+282.39+4+4+18+13+13+70+140+70+50+70+70+1202.4+70+70+70+199.87+383.88+1+4+8.5+15+24.5+25+38.5+45+55.8+29.7+575.13+585.97+570.62+200+549.28+157.35+19.04+44.12</f>
        <v>7174.56</v>
      </c>
      <c r="N32" s="638"/>
      <c r="O32" s="252">
        <f>125.59+458.3+576.6+26.99+337.19+95.13+38.93+592.01+2.5+5+5+10+5+5+5+9.6+7.5+41.8+12.2+136+93+89+18+23.05+70+599.99+58+282.39+45.85+575.13+585.97+941.64+2009.35+286.73+501.13+78.81+106.15+99.98+47.04+200+5.4+549.28</f>
        <v>9761.23</v>
      </c>
      <c r="P32" s="656">
        <f>O32+O33+O34</f>
        <v>32317.16</v>
      </c>
      <c r="Q32" s="354">
        <v>32317.16</v>
      </c>
      <c r="R32" s="264">
        <f>Q32-P32</f>
        <v>0</v>
      </c>
      <c r="T32" s="264"/>
    </row>
    <row r="33" spans="1:70" ht="337.5" customHeight="1">
      <c r="A33" s="218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294</v>
      </c>
      <c r="M33" s="340">
        <f>24.12+10+50+40+68.6+39.5+90+753.8+862+2385.6+1506.59+531.05+4384.65+125.46+1980.45+2009.35+47.04+1145.2+1070+328.4+252.63+500+19.8</f>
        <v>18224.240000000005</v>
      </c>
      <c r="N33" s="638"/>
      <c r="O33" s="252">
        <f>215.91+125.68+80.97+300.99+157.35+19.04+44.12+39.5+90+37.15+753.84+418.34+861.99+2385.57+1506.59+734.63+4463.95+218.75+1980.45+22+409.5+43.69+10+50+40+50+68.61+39.15+4+4+18+13+13+19.04</f>
        <v>15238.810000000003</v>
      </c>
      <c r="P33" s="656"/>
      <c r="Q33" s="342"/>
      <c r="R33" s="270"/>
      <c r="S33" s="270"/>
      <c r="T33" s="270"/>
      <c r="U33" s="270"/>
      <c r="V33" s="270"/>
      <c r="W33" s="270"/>
      <c r="X33" s="270"/>
      <c r="Y33" s="270"/>
      <c r="Z33" s="270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04"/>
    </row>
    <row r="34" spans="1:70" ht="345" customHeight="1">
      <c r="A34" s="218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305" t="s">
        <v>327</v>
      </c>
      <c r="M34" s="340"/>
      <c r="N34" s="638"/>
      <c r="O34" s="252">
        <f>70+140+239.96+50+70+70+1202.44+70+70+70+199.87+82.2+383.88+15+300+1145.16+1069.98+328.37+2.99+58.48+83.63+252.63+500+114.13+120.04+92.5+29.7+44+94+24.12+21+2+30+10+15.7+17+24.55+25+38.5+45+65.83+5+19.96+4.5</f>
        <v>7317.119999999999</v>
      </c>
      <c r="P34" s="656"/>
      <c r="Q34" s="342"/>
    </row>
    <row r="35" spans="1:70" s="244" customFormat="1" hidden="1">
      <c r="A35" s="218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305"/>
      <c r="M35" s="340"/>
      <c r="N35" s="638"/>
      <c r="O35" s="252"/>
      <c r="P35" s="342"/>
      <c r="Q35" s="343"/>
    </row>
    <row r="36" spans="1:70" s="244" customFormat="1" hidden="1">
      <c r="A36" s="218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/>
      <c r="M36" s="340"/>
      <c r="N36" s="638"/>
      <c r="O36" s="252"/>
      <c r="P36" s="342"/>
      <c r="Q36" s="343"/>
    </row>
    <row r="37" spans="1:70" s="244" customFormat="1" hidden="1">
      <c r="A37" s="218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/>
      <c r="M37" s="340"/>
      <c r="N37" s="638"/>
      <c r="O37" s="252"/>
      <c r="P37" s="342"/>
      <c r="Q37" s="343"/>
    </row>
    <row r="38" spans="1:70" s="244" customFormat="1" ht="100.5" customHeight="1">
      <c r="A38" s="218"/>
      <c r="B38" s="12"/>
      <c r="C38" s="175"/>
      <c r="D38" s="175"/>
      <c r="E38" s="175"/>
      <c r="F38" s="176"/>
      <c r="G38" s="175"/>
      <c r="H38" s="175"/>
      <c r="I38" s="175"/>
      <c r="J38" s="176"/>
      <c r="K38" s="133"/>
      <c r="L38" s="24" t="s">
        <v>288</v>
      </c>
      <c r="M38" s="340">
        <v>27288.2</v>
      </c>
      <c r="N38" s="638"/>
      <c r="O38" s="252">
        <v>36195.71</v>
      </c>
      <c r="P38" s="342"/>
      <c r="Q38" s="343"/>
    </row>
    <row r="39" spans="1:70" s="244" customFormat="1" ht="102" customHeight="1">
      <c r="A39" s="218"/>
      <c r="B39" s="12"/>
      <c r="C39" s="175"/>
      <c r="D39" s="175"/>
      <c r="E39" s="175"/>
      <c r="F39" s="176"/>
      <c r="G39" s="175"/>
      <c r="H39" s="175"/>
      <c r="I39" s="175"/>
      <c r="J39" s="176"/>
      <c r="K39" s="133"/>
      <c r="L39" s="24" t="s">
        <v>289</v>
      </c>
      <c r="M39" s="340">
        <f>410725.05+98.83+2757.79+5476.13+2317.14</f>
        <v>421374.94</v>
      </c>
      <c r="N39" s="638"/>
      <c r="O39" s="252">
        <f>589563.22+167.52+4565.22+6898.8+2533.18</f>
        <v>603727.94000000006</v>
      </c>
      <c r="P39" s="342"/>
      <c r="Q39" s="343"/>
    </row>
    <row r="40" spans="1:70" s="244" customFormat="1" ht="54.75" customHeight="1">
      <c r="A40" s="218"/>
      <c r="B40" s="12"/>
      <c r="C40" s="175"/>
      <c r="D40" s="175"/>
      <c r="E40" s="175"/>
      <c r="F40" s="176"/>
      <c r="G40" s="175"/>
      <c r="H40" s="175"/>
      <c r="I40" s="175"/>
      <c r="J40" s="176"/>
      <c r="K40" s="133"/>
      <c r="L40" s="356" t="s">
        <v>290</v>
      </c>
      <c r="M40" s="340">
        <f>101.4+4971.2</f>
        <v>5072.5999999999995</v>
      </c>
      <c r="N40" s="638"/>
      <c r="O40" s="252">
        <f>7450.58+152.05</f>
        <v>7602.63</v>
      </c>
      <c r="P40" s="342"/>
      <c r="Q40" s="343"/>
    </row>
    <row r="41" spans="1:70" s="244" customFormat="1" ht="132.75" customHeight="1">
      <c r="A41" s="218"/>
      <c r="B41" s="12"/>
      <c r="C41" s="175"/>
      <c r="D41" s="175"/>
      <c r="E41" s="175"/>
      <c r="F41" s="176"/>
      <c r="G41" s="175"/>
      <c r="H41" s="175"/>
      <c r="I41" s="175"/>
      <c r="J41" s="176"/>
      <c r="K41" s="133"/>
      <c r="L41" s="24" t="s">
        <v>326</v>
      </c>
      <c r="M41" s="340">
        <f>9324.13+190.3</f>
        <v>9514.4299999999985</v>
      </c>
      <c r="N41" s="638"/>
      <c r="O41" s="252">
        <f>12349.54+252.03</f>
        <v>12601.570000000002</v>
      </c>
      <c r="P41" s="342"/>
      <c r="Q41" s="343"/>
    </row>
    <row r="42" spans="1:70" s="244" customFormat="1" ht="36" customHeight="1">
      <c r="A42" s="218"/>
      <c r="B42" s="12"/>
      <c r="C42" s="175"/>
      <c r="D42" s="175"/>
      <c r="E42" s="175"/>
      <c r="F42" s="176"/>
      <c r="G42" s="175"/>
      <c r="H42" s="175"/>
      <c r="I42" s="175"/>
      <c r="J42" s="176"/>
      <c r="K42" s="133"/>
      <c r="L42" s="357" t="s">
        <v>291</v>
      </c>
      <c r="M42" s="340">
        <f>1164.9+3143.7</f>
        <v>4308.6000000000004</v>
      </c>
      <c r="N42" s="638"/>
      <c r="O42" s="252">
        <f>1951.77+4551.01</f>
        <v>6502.7800000000007</v>
      </c>
      <c r="P42" s="342"/>
      <c r="Q42" s="343"/>
    </row>
    <row r="43" spans="1:70" s="244" customFormat="1" ht="31.5" customHeight="1">
      <c r="A43" s="218"/>
      <c r="B43" s="12"/>
      <c r="C43" s="175"/>
      <c r="D43" s="175"/>
      <c r="E43" s="175"/>
      <c r="F43" s="176"/>
      <c r="G43" s="175"/>
      <c r="H43" s="175"/>
      <c r="I43" s="175"/>
      <c r="J43" s="176"/>
      <c r="K43" s="133"/>
      <c r="L43" s="357" t="s">
        <v>292</v>
      </c>
      <c r="M43" s="340">
        <v>4.08</v>
      </c>
      <c r="N43" s="638"/>
      <c r="O43" s="252">
        <f>4+0.08</f>
        <v>4.08</v>
      </c>
      <c r="P43" s="342"/>
      <c r="Q43" s="343"/>
    </row>
    <row r="44" spans="1:70" s="244" customFormat="1" ht="55.5" customHeight="1">
      <c r="A44" s="218"/>
      <c r="B44" s="12"/>
      <c r="C44" s="175"/>
      <c r="D44" s="175"/>
      <c r="E44" s="175"/>
      <c r="F44" s="176"/>
      <c r="G44" s="175"/>
      <c r="H44" s="175"/>
      <c r="I44" s="175"/>
      <c r="J44" s="176"/>
      <c r="K44" s="133"/>
      <c r="L44" s="358" t="s">
        <v>293</v>
      </c>
      <c r="M44" s="340">
        <f>207.75+2056.75+18510.7</f>
        <v>20775.2</v>
      </c>
      <c r="N44" s="638"/>
      <c r="O44" s="252">
        <f>342.14+3387.23+30485.03</f>
        <v>34214.400000000001</v>
      </c>
      <c r="P44" s="342"/>
      <c r="Q44" s="343"/>
    </row>
    <row r="45" spans="1:70" s="244" customFormat="1" ht="50.25" hidden="1" customHeight="1">
      <c r="A45" s="218"/>
      <c r="B45" s="12"/>
      <c r="C45" s="175"/>
      <c r="D45" s="175"/>
      <c r="E45" s="175"/>
      <c r="F45" s="176"/>
      <c r="G45" s="175"/>
      <c r="H45" s="175"/>
      <c r="I45" s="175"/>
      <c r="J45" s="176"/>
      <c r="K45" s="133"/>
      <c r="L45" s="24"/>
      <c r="M45" s="340"/>
      <c r="N45" s="638"/>
      <c r="O45" s="252"/>
      <c r="P45" s="342"/>
      <c r="Q45" s="343"/>
    </row>
    <row r="46" spans="1:70" s="244" customFormat="1" ht="105" customHeight="1">
      <c r="A46" s="22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4" t="s">
        <v>332</v>
      </c>
      <c r="M46" s="274">
        <f>7699.24+41.88+3+324.29+235.47+3.9+105.98+122.09</f>
        <v>8535.8499999999985</v>
      </c>
      <c r="N46" s="638"/>
      <c r="O46" s="252">
        <f>10768.9+61.62+3+333.25+435.48+7.21+194.52+320.8</f>
        <v>12124.779999999999</v>
      </c>
      <c r="P46" s="342"/>
      <c r="Q46" s="343"/>
    </row>
    <row r="47" spans="1:70" s="244" customFormat="1" ht="105" customHeight="1">
      <c r="A47" s="22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4" t="s">
        <v>334</v>
      </c>
      <c r="M47" s="274">
        <f>20902.69+77.99+6.7+408.7+893.73+1030.36+7.39+187.57+368.06</f>
        <v>23883.190000000002</v>
      </c>
      <c r="N47" s="638"/>
      <c r="O47" s="252">
        <f>28540.41+114.57+6.7+529.71+1096.44+1301.77+8.96+185.4+539.86</f>
        <v>32323.82</v>
      </c>
      <c r="P47" s="342"/>
      <c r="Q47" s="343"/>
    </row>
    <row r="48" spans="1:70" s="244" customFormat="1" ht="82.5" customHeight="1">
      <c r="A48" s="221"/>
      <c r="B48" s="12"/>
      <c r="C48" s="175"/>
      <c r="D48" s="175"/>
      <c r="E48" s="175"/>
      <c r="F48" s="176"/>
      <c r="G48" s="175"/>
      <c r="H48" s="175"/>
      <c r="I48" s="175"/>
      <c r="J48" s="176"/>
      <c r="K48" s="133"/>
      <c r="L48" s="24" t="s">
        <v>333</v>
      </c>
      <c r="M48" s="340">
        <f>29.75+247.5</f>
        <v>277.25</v>
      </c>
      <c r="N48" s="638"/>
      <c r="O48" s="252">
        <f>600.9+1.33+91.06+29.8+308.2+5.81</f>
        <v>1037.0999999999999</v>
      </c>
      <c r="P48" s="342"/>
      <c r="Q48" s="343"/>
    </row>
    <row r="49" spans="1:18" s="244" customFormat="1" ht="96.75" customHeight="1">
      <c r="A49" s="221"/>
      <c r="B49" s="12"/>
      <c r="C49" s="175"/>
      <c r="D49" s="175"/>
      <c r="E49" s="175"/>
      <c r="F49" s="176"/>
      <c r="G49" s="175"/>
      <c r="H49" s="175"/>
      <c r="I49" s="175"/>
      <c r="J49" s="176"/>
      <c r="K49" s="133"/>
      <c r="L49" s="292" t="s">
        <v>335</v>
      </c>
      <c r="M49" s="340">
        <f>1957.6+1957.6</f>
        <v>3915.2</v>
      </c>
      <c r="N49" s="278"/>
      <c r="O49" s="252">
        <f>2217.3+2217.3</f>
        <v>4434.6000000000004</v>
      </c>
      <c r="P49" s="342"/>
      <c r="Q49" s="343"/>
    </row>
    <row r="50" spans="1:18" s="244" customFormat="1" ht="134.25" customHeight="1">
      <c r="A50" s="221"/>
      <c r="B50" s="294"/>
      <c r="C50" s="306"/>
      <c r="D50" s="175"/>
      <c r="E50" s="359"/>
      <c r="F50" s="176"/>
      <c r="G50" s="175"/>
      <c r="H50" s="175"/>
      <c r="I50" s="175"/>
      <c r="J50" s="176"/>
      <c r="K50" s="133"/>
      <c r="L50" s="292" t="s">
        <v>345</v>
      </c>
      <c r="M50" s="340">
        <f>588+189.73+213.53+31.94</f>
        <v>1023.2</v>
      </c>
      <c r="N50" s="278"/>
      <c r="O50" s="252">
        <f>778.33+713.99+189.73+213.53+31.94+16.01+56.47</f>
        <v>2000.0000000000002</v>
      </c>
      <c r="P50" s="342"/>
      <c r="Q50" s="343"/>
    </row>
    <row r="51" spans="1:18" s="244" customFormat="1" ht="119.25" customHeight="1">
      <c r="A51" s="221"/>
      <c r="B51" s="294"/>
      <c r="C51" s="306"/>
      <c r="D51" s="175"/>
      <c r="E51" s="359"/>
      <c r="F51" s="176"/>
      <c r="G51" s="175"/>
      <c r="H51" s="175"/>
      <c r="I51" s="175"/>
      <c r="J51" s="176"/>
      <c r="K51" s="133"/>
      <c r="L51" s="292" t="s">
        <v>346</v>
      </c>
      <c r="M51" s="340">
        <f>12+3.9+4.4+0.7</f>
        <v>21</v>
      </c>
      <c r="N51" s="278"/>
      <c r="O51" s="252">
        <f>15.88+14.58+3.87+4.36+0.65+0.33+1.15</f>
        <v>40.819999999999993</v>
      </c>
      <c r="P51" s="342"/>
      <c r="Q51" s="343"/>
    </row>
    <row r="52" spans="1:18" s="244" customFormat="1" ht="187.5" customHeight="1">
      <c r="A52" s="221"/>
      <c r="B52" s="294"/>
      <c r="C52" s="306"/>
      <c r="D52" s="175"/>
      <c r="E52" s="359"/>
      <c r="F52" s="176"/>
      <c r="G52" s="175"/>
      <c r="H52" s="175"/>
      <c r="I52" s="175"/>
      <c r="J52" s="176"/>
      <c r="K52" s="133"/>
      <c r="L52" s="292" t="s">
        <v>295</v>
      </c>
      <c r="M52" s="340">
        <f>2191.07+2191.07+2191.07+2191.07+864.75+257.6+244.36+251.7+231.78+762.78+776.04+768.71</f>
        <v>12922.000000000004</v>
      </c>
      <c r="N52" s="278"/>
      <c r="O52" s="252">
        <f>3751.88+3751.88+3751.88+3751.88+1397.04+257.63+244.36+251.7+231.78+762.78+776.04+768.71+788.63</f>
        <v>20486.190000000002</v>
      </c>
      <c r="P52" s="342"/>
      <c r="Q52" s="343"/>
    </row>
    <row r="53" spans="1:18" s="244" customFormat="1" ht="98.25" customHeight="1">
      <c r="A53" s="221"/>
      <c r="B53" s="294"/>
      <c r="C53" s="306"/>
      <c r="D53" s="175"/>
      <c r="E53" s="359"/>
      <c r="F53" s="176"/>
      <c r="G53" s="175"/>
      <c r="H53" s="175"/>
      <c r="I53" s="175"/>
      <c r="J53" s="176"/>
      <c r="K53" s="293"/>
      <c r="L53" s="356" t="s">
        <v>221</v>
      </c>
      <c r="M53" s="302">
        <f>254.75+745.25</f>
        <v>1000</v>
      </c>
      <c r="N53" s="278"/>
      <c r="O53" s="252">
        <f>254.75+745.25</f>
        <v>1000</v>
      </c>
      <c r="P53" s="342"/>
      <c r="Q53" s="343"/>
    </row>
    <row r="54" spans="1:18" s="244" customFormat="1" ht="67.5" customHeight="1">
      <c r="A54" s="221"/>
      <c r="B54" s="294"/>
      <c r="C54" s="306"/>
      <c r="D54" s="175"/>
      <c r="E54" s="359"/>
      <c r="F54" s="176"/>
      <c r="G54" s="175"/>
      <c r="H54" s="175"/>
      <c r="I54" s="175"/>
      <c r="J54" s="176"/>
      <c r="K54" s="293"/>
      <c r="L54" s="356" t="s">
        <v>325</v>
      </c>
      <c r="M54" s="302">
        <f>5.2+15.21</f>
        <v>20.41</v>
      </c>
      <c r="N54" s="278"/>
      <c r="O54" s="252">
        <f>5.2+15.21</f>
        <v>20.41</v>
      </c>
      <c r="P54" s="342"/>
      <c r="Q54" s="343"/>
    </row>
    <row r="55" spans="1:18" s="244" customFormat="1" ht="109.5" customHeight="1">
      <c r="A55" s="221"/>
      <c r="B55" s="294"/>
      <c r="C55" s="306"/>
      <c r="D55" s="175"/>
      <c r="E55" s="359"/>
      <c r="F55" s="176"/>
      <c r="G55" s="175"/>
      <c r="H55" s="175"/>
      <c r="I55" s="175"/>
      <c r="J55" s="176"/>
      <c r="K55" s="293"/>
      <c r="L55" s="356" t="s">
        <v>296</v>
      </c>
      <c r="M55" s="302">
        <f>2290.4+964.34+42.6</f>
        <v>3297.34</v>
      </c>
      <c r="N55" s="278"/>
      <c r="O55" s="252">
        <f>2290.39+1023.13+43.78</f>
        <v>3357.3</v>
      </c>
      <c r="P55" s="342"/>
      <c r="Q55" s="343"/>
    </row>
    <row r="56" spans="1:18" s="244" customFormat="1" ht="143.25" customHeight="1">
      <c r="A56" s="221"/>
      <c r="B56" s="12"/>
      <c r="C56" s="175"/>
      <c r="D56" s="175"/>
      <c r="E56" s="175"/>
      <c r="F56" s="176"/>
      <c r="G56" s="175"/>
      <c r="H56" s="175"/>
      <c r="I56" s="175"/>
      <c r="J56" s="176"/>
      <c r="K56" s="293"/>
      <c r="L56" s="292" t="s">
        <v>336</v>
      </c>
      <c r="M56" s="277">
        <f>94.7+94.7+94.7+284.1+94.7+94.7+94.7+94.7</f>
        <v>947.00000000000023</v>
      </c>
      <c r="N56" s="279"/>
      <c r="O56" s="252">
        <f>94.7+94.7+94.7+284.1+94.7+94.7+94.7+94.7</f>
        <v>947.00000000000023</v>
      </c>
      <c r="P56" s="342"/>
      <c r="Q56" s="343"/>
    </row>
    <row r="57" spans="1:18" s="244" customFormat="1" ht="98.25" customHeight="1">
      <c r="A57" s="221"/>
      <c r="B57" s="12"/>
      <c r="C57" s="175"/>
      <c r="D57" s="175"/>
      <c r="E57" s="175"/>
      <c r="F57" s="176"/>
      <c r="G57" s="175"/>
      <c r="H57" s="175"/>
      <c r="I57" s="175"/>
      <c r="J57" s="176"/>
      <c r="K57" s="293"/>
      <c r="L57" s="223" t="s">
        <v>297</v>
      </c>
      <c r="M57" s="302">
        <f>32.21+0.33</f>
        <v>32.54</v>
      </c>
      <c r="N57" s="278"/>
      <c r="O57" s="252">
        <f>320.28+3.23</f>
        <v>323.51</v>
      </c>
      <c r="P57" s="342"/>
      <c r="Q57" s="343"/>
    </row>
    <row r="58" spans="1:18" s="244" customFormat="1" ht="103.5" customHeight="1">
      <c r="A58" s="216" t="s">
        <v>59</v>
      </c>
      <c r="B58" s="8" t="s">
        <v>1</v>
      </c>
      <c r="C58" s="383">
        <v>76619</v>
      </c>
      <c r="D58" s="364"/>
      <c r="E58" s="364"/>
      <c r="F58" s="363">
        <f>E58+D58+C58</f>
        <v>76619</v>
      </c>
      <c r="G58" s="364">
        <v>75394.600000000006</v>
      </c>
      <c r="H58" s="364"/>
      <c r="I58" s="364"/>
      <c r="J58" s="363">
        <f>I58+H58+G58</f>
        <v>75394.600000000006</v>
      </c>
      <c r="K58" s="377">
        <f>J58*100/F58</f>
        <v>98.401962959579222</v>
      </c>
      <c r="L58" s="12" t="s">
        <v>281</v>
      </c>
      <c r="M58" s="353">
        <f>10247+34.2+199.5+108+68.6+7.2+69.2</f>
        <v>10733.700000000003</v>
      </c>
      <c r="N58" s="637">
        <f>M58+M59+M60+M63+M64+M62</f>
        <v>49262</v>
      </c>
      <c r="O58" s="287">
        <f>14839.58+52.96+259.32+193.83+81.02+7.84+95.59</f>
        <v>15530.14</v>
      </c>
      <c r="P58" s="622">
        <f>O58+O59+O60+O62+O63+O64</f>
        <v>75394.599999999991</v>
      </c>
      <c r="Q58" s="329"/>
      <c r="R58" s="270"/>
    </row>
    <row r="59" spans="1:18" s="244" customFormat="1" ht="102.75" customHeight="1">
      <c r="A59" s="217"/>
      <c r="B59" s="12"/>
      <c r="C59" s="172"/>
      <c r="D59" s="172"/>
      <c r="E59" s="172"/>
      <c r="F59" s="171"/>
      <c r="G59" s="172"/>
      <c r="H59" s="172"/>
      <c r="I59" s="172"/>
      <c r="J59" s="171"/>
      <c r="K59" s="349"/>
      <c r="L59" s="12" t="s">
        <v>280</v>
      </c>
      <c r="M59" s="340">
        <f>11318.8+15.4+587.8+66.4+55.5+0.6+152</f>
        <v>12196.499999999998</v>
      </c>
      <c r="N59" s="638"/>
      <c r="O59" s="340">
        <f>15408+17.92+680.29+87.94+149.57+0.6+389.53+22.15+1125.9</f>
        <v>17881.900000000001</v>
      </c>
      <c r="P59" s="623"/>
      <c r="Q59" s="329"/>
      <c r="R59" s="270"/>
    </row>
    <row r="60" spans="1:18" s="244" customFormat="1" ht="99" customHeight="1">
      <c r="A60" s="217"/>
      <c r="B60" s="12"/>
      <c r="C60" s="172"/>
      <c r="D60" s="172"/>
      <c r="E60" s="172"/>
      <c r="F60" s="171"/>
      <c r="G60" s="172"/>
      <c r="H60" s="172"/>
      <c r="I60" s="172"/>
      <c r="J60" s="171"/>
      <c r="K60" s="349"/>
      <c r="L60" s="12" t="s">
        <v>279</v>
      </c>
      <c r="M60" s="340">
        <f>19359.5+18.3+691.4+174.5+655.2+0.1+0.4+353.6+42</f>
        <v>21295</v>
      </c>
      <c r="N60" s="638"/>
      <c r="O60" s="340">
        <f>28474.84+27.26+880.59+337.67+770.05+128.51+912.06+793.87+1837.17</f>
        <v>34162.019999999997</v>
      </c>
      <c r="P60" s="623"/>
      <c r="Q60" s="329"/>
      <c r="R60" s="270"/>
    </row>
    <row r="61" spans="1:18" s="244" customFormat="1" ht="42" hidden="1" customHeight="1">
      <c r="A61" s="217"/>
      <c r="B61" s="12"/>
      <c r="C61" s="172"/>
      <c r="D61" s="172"/>
      <c r="E61" s="172"/>
      <c r="F61" s="171"/>
      <c r="G61" s="172"/>
      <c r="H61" s="172"/>
      <c r="I61" s="172"/>
      <c r="J61" s="171"/>
      <c r="K61" s="349"/>
      <c r="L61" s="12" t="s">
        <v>94</v>
      </c>
      <c r="M61" s="340"/>
      <c r="N61" s="638"/>
      <c r="O61" s="340"/>
      <c r="P61" s="623"/>
      <c r="Q61" s="343"/>
    </row>
    <row r="62" spans="1:18" s="244" customFormat="1" ht="114.75" customHeight="1">
      <c r="A62" s="221"/>
      <c r="B62" s="12"/>
      <c r="C62" s="172"/>
      <c r="D62" s="172"/>
      <c r="E62" s="172"/>
      <c r="F62" s="171"/>
      <c r="G62" s="172"/>
      <c r="H62" s="172"/>
      <c r="I62" s="172"/>
      <c r="J62" s="171"/>
      <c r="K62" s="349"/>
      <c r="L62" s="12" t="s">
        <v>324</v>
      </c>
      <c r="M62" s="340">
        <f>566.1+8.5+39.9</f>
        <v>614.5</v>
      </c>
      <c r="N62" s="638"/>
      <c r="O62" s="340">
        <f>566.2+8.5+50+2.5</f>
        <v>627.20000000000005</v>
      </c>
      <c r="P62" s="623"/>
      <c r="Q62" s="343"/>
    </row>
    <row r="63" spans="1:18" s="244" customFormat="1" ht="108.75" customHeight="1">
      <c r="A63" s="221"/>
      <c r="B63" s="12"/>
      <c r="C63" s="172"/>
      <c r="D63" s="172"/>
      <c r="E63" s="172"/>
      <c r="F63" s="171"/>
      <c r="G63" s="172"/>
      <c r="H63" s="172"/>
      <c r="I63" s="172"/>
      <c r="J63" s="171"/>
      <c r="K63" s="349"/>
      <c r="L63" s="12" t="s">
        <v>278</v>
      </c>
      <c r="M63" s="340">
        <f>47+45+154.4</f>
        <v>246.4</v>
      </c>
      <c r="N63" s="638"/>
      <c r="O63" s="340">
        <f>81.19+45+214.35</f>
        <v>340.53999999999996</v>
      </c>
      <c r="P63" s="623"/>
      <c r="Q63" s="343"/>
    </row>
    <row r="64" spans="1:18" s="244" customFormat="1" ht="129" customHeight="1">
      <c r="A64" s="222"/>
      <c r="B64" s="148"/>
      <c r="C64" s="367"/>
      <c r="D64" s="360"/>
      <c r="E64" s="172"/>
      <c r="F64" s="171"/>
      <c r="G64" s="172"/>
      <c r="H64" s="172"/>
      <c r="I64" s="172"/>
      <c r="J64" s="171"/>
      <c r="K64" s="350"/>
      <c r="L64" s="12" t="s">
        <v>323</v>
      </c>
      <c r="M64" s="273">
        <v>4175.8999999999996</v>
      </c>
      <c r="N64" s="639"/>
      <c r="O64" s="273">
        <f>6597.4+6.5+5.4+188.6+54.9</f>
        <v>6852.7999999999993</v>
      </c>
      <c r="P64" s="624"/>
      <c r="Q64" s="343"/>
    </row>
    <row r="65" spans="1:17" s="244" customFormat="1" ht="327.75" customHeight="1">
      <c r="A65" s="224" t="s">
        <v>60</v>
      </c>
      <c r="B65" s="113" t="s">
        <v>36</v>
      </c>
      <c r="C65" s="103">
        <v>279</v>
      </c>
      <c r="D65" s="361"/>
      <c r="E65" s="103"/>
      <c r="F65" s="104">
        <f>E65+D65+C65</f>
        <v>279</v>
      </c>
      <c r="G65" s="103">
        <v>259.2</v>
      </c>
      <c r="H65" s="103"/>
      <c r="I65" s="103"/>
      <c r="J65" s="104">
        <f>I65+H65+G65</f>
        <v>259.2</v>
      </c>
      <c r="K65" s="102">
        <f>J65*100/F65</f>
        <v>92.903225806451616</v>
      </c>
      <c r="L65" s="8" t="s">
        <v>330</v>
      </c>
      <c r="M65" s="301">
        <f>1.1+1+15.3+25.9+33.1+20+7.5+8+21.3+39.4+0.5+8.9</f>
        <v>182.00000000000003</v>
      </c>
      <c r="N65" s="219"/>
      <c r="O65" s="252">
        <f>1.1+1+15.3+25.9+33.1+20+7.5+8+21.3+67.8+0.5+3+36+5.28+13.42</f>
        <v>259.2</v>
      </c>
      <c r="P65" s="342"/>
      <c r="Q65" s="343"/>
    </row>
    <row r="66" spans="1:17" s="244" customFormat="1" ht="327.75" hidden="1" customHeight="1">
      <c r="A66" s="216"/>
      <c r="B66" s="8"/>
      <c r="C66" s="364"/>
      <c r="D66" s="362"/>
      <c r="E66" s="364"/>
      <c r="F66" s="363"/>
      <c r="G66" s="364"/>
      <c r="H66" s="364"/>
      <c r="I66" s="364"/>
      <c r="J66" s="363"/>
      <c r="K66" s="377"/>
      <c r="L66" s="8"/>
      <c r="M66" s="252"/>
      <c r="N66" s="219"/>
      <c r="O66" s="252"/>
      <c r="P66" s="342"/>
      <c r="Q66" s="343"/>
    </row>
    <row r="67" spans="1:17" s="244" customFormat="1" ht="327.75" hidden="1" customHeight="1">
      <c r="A67" s="216"/>
      <c r="B67" s="8"/>
      <c r="C67" s="364"/>
      <c r="D67" s="362"/>
      <c r="E67" s="364"/>
      <c r="F67" s="363"/>
      <c r="G67" s="364"/>
      <c r="H67" s="364"/>
      <c r="I67" s="364"/>
      <c r="J67" s="363"/>
      <c r="K67" s="377"/>
      <c r="L67" s="8"/>
      <c r="M67" s="252"/>
      <c r="N67" s="219"/>
      <c r="O67" s="252"/>
      <c r="P67" s="342"/>
      <c r="Q67" s="343"/>
    </row>
    <row r="68" spans="1:17" s="244" customFormat="1" ht="359.25" customHeight="1">
      <c r="A68" s="661" t="s">
        <v>28</v>
      </c>
      <c r="B68" s="590" t="s">
        <v>83</v>
      </c>
      <c r="C68" s="629">
        <v>5742.7</v>
      </c>
      <c r="D68" s="629">
        <v>387.3</v>
      </c>
      <c r="E68" s="663"/>
      <c r="F68" s="665">
        <f>E68+D68+C68</f>
        <v>6130</v>
      </c>
      <c r="G68" s="363">
        <f>5463.4+0.1</f>
        <v>5463.5</v>
      </c>
      <c r="H68" s="363">
        <v>387.3</v>
      </c>
      <c r="I68" s="363"/>
      <c r="J68" s="363">
        <f>I68+H68+G68</f>
        <v>5850.8</v>
      </c>
      <c r="K68" s="377">
        <f>J68*100/F68</f>
        <v>95.445350734094617</v>
      </c>
      <c r="L68" s="8" t="s">
        <v>260</v>
      </c>
      <c r="M68" s="275">
        <f>3822.7+32.8+14+40.9</f>
        <v>3910.4</v>
      </c>
      <c r="N68" s="237"/>
      <c r="O68" s="353">
        <f>5079.7+12+4.5+16.4+147.1+106.4+60.2+4.5+31.4+25.1+167.6</f>
        <v>5654.9</v>
      </c>
      <c r="P68" s="643">
        <f>O68+O69</f>
        <v>5850.7999999999993</v>
      </c>
      <c r="Q68" s="612">
        <f>J68-P68</f>
        <v>0</v>
      </c>
    </row>
    <row r="69" spans="1:17" s="244" customFormat="1" ht="126.75" customHeight="1">
      <c r="A69" s="662"/>
      <c r="B69" s="628"/>
      <c r="C69" s="630"/>
      <c r="D69" s="630"/>
      <c r="E69" s="664"/>
      <c r="F69" s="666"/>
      <c r="G69" s="366"/>
      <c r="H69" s="366"/>
      <c r="I69" s="366"/>
      <c r="J69" s="366"/>
      <c r="K69" s="350"/>
      <c r="L69" s="148" t="s">
        <v>224</v>
      </c>
      <c r="M69" s="275"/>
      <c r="N69" s="237"/>
      <c r="O69" s="273">
        <f>11.9+15+14+29+13+26+24+20+18+25</f>
        <v>195.9</v>
      </c>
      <c r="P69" s="644"/>
      <c r="Q69" s="647"/>
    </row>
    <row r="70" spans="1:17" s="244" customFormat="1" ht="56.25">
      <c r="A70" s="351" t="s">
        <v>29</v>
      </c>
      <c r="B70" s="258" t="s">
        <v>82</v>
      </c>
      <c r="C70" s="104">
        <f>C71+C82+C97+C102+C104</f>
        <v>115857.59999999999</v>
      </c>
      <c r="D70" s="104">
        <f t="shared" ref="D70:I70" si="1">D71+D82+D97+D102+D104</f>
        <v>1464.8</v>
      </c>
      <c r="E70" s="104">
        <f t="shared" si="1"/>
        <v>134.6</v>
      </c>
      <c r="F70" s="104">
        <f>F71+F82+F97+F102+F104</f>
        <v>117457</v>
      </c>
      <c r="G70" s="366">
        <f>G71+G82+G97+G102+G104</f>
        <v>111691.69999999998</v>
      </c>
      <c r="H70" s="366">
        <f>H71+H82+H97+H102+H104</f>
        <v>1464.7</v>
      </c>
      <c r="I70" s="366">
        <f t="shared" si="1"/>
        <v>134.6</v>
      </c>
      <c r="J70" s="387">
        <f>J71+J82+J97+J102+J104</f>
        <v>113290.99999999999</v>
      </c>
      <c r="K70" s="350">
        <f>J70*100/F70</f>
        <v>96.453170096290535</v>
      </c>
      <c r="L70" s="148"/>
      <c r="M70" s="252"/>
      <c r="N70" s="219"/>
      <c r="O70" s="252"/>
      <c r="P70" s="342"/>
      <c r="Q70" s="343"/>
    </row>
    <row r="71" spans="1:17" s="244" customFormat="1" ht="375" customHeight="1">
      <c r="A71" s="224" t="s">
        <v>61</v>
      </c>
      <c r="B71" s="226" t="s">
        <v>3</v>
      </c>
      <c r="C71" s="384">
        <v>30010.799999999999</v>
      </c>
      <c r="D71" s="103"/>
      <c r="E71" s="103"/>
      <c r="F71" s="104">
        <f>E71+D71+C71</f>
        <v>30010.799999999999</v>
      </c>
      <c r="G71" s="103">
        <v>28801.4</v>
      </c>
      <c r="H71" s="103"/>
      <c r="I71" s="103"/>
      <c r="J71" s="104">
        <f>I71+H71+G71</f>
        <v>28801.4</v>
      </c>
      <c r="K71" s="102">
        <f>J71*100/F71</f>
        <v>95.970117424393891</v>
      </c>
      <c r="L71" s="131" t="s">
        <v>265</v>
      </c>
      <c r="M71" s="353">
        <f>10320.32+2957.91+31.2+3.5+63.39+1642.51+215.53+267.9+11.3+196.35+19.45+199+0.4+12.96+0.25+137.03</f>
        <v>16079</v>
      </c>
      <c r="N71" s="637">
        <f>M71+M72+M74+M77+M78</f>
        <v>19100</v>
      </c>
      <c r="O71" s="252">
        <f>14740.4+4224.8+36.95+3.5+88.7+2115.96+334.1+404.6+88.8+251.64+153.58+226.23+0.6+34.5+0.25+367.73+1164.16</f>
        <v>24236.499999999996</v>
      </c>
      <c r="P71" s="354">
        <f>O71+O72+O74+O77+O78</f>
        <v>28801.399999999998</v>
      </c>
      <c r="Q71" s="343"/>
    </row>
    <row r="72" spans="1:17" s="244" customFormat="1" ht="393" customHeight="1">
      <c r="A72" s="217"/>
      <c r="B72" s="24"/>
      <c r="C72" s="172"/>
      <c r="D72" s="172"/>
      <c r="E72" s="172"/>
      <c r="F72" s="171"/>
      <c r="G72" s="172"/>
      <c r="H72" s="172"/>
      <c r="I72" s="172"/>
      <c r="J72" s="171"/>
      <c r="K72" s="349"/>
      <c r="L72" s="12" t="s">
        <v>322</v>
      </c>
      <c r="M72" s="659">
        <f>1.5+27.08+10+35.78+384.4+34.9+8.1+9.84+4.31+150+4+7+3+6.65+6.96+37.52+4.42+9.9+17.92+3+10.45+25+10.39</f>
        <v>812.11999999999989</v>
      </c>
      <c r="N72" s="638"/>
      <c r="O72" s="659">
        <f>1.5+27.08+10+35.78+384.43+34.9+8.1+9.84+4.31+150+4+7+3+6.65+6.96+37.52+4.42+9.93+17.92+3+10.45+25+5+10.03+7.95+8.8+3+3.41+27.36+6.98+64.79+4.9+20.63+8.16+38.56+49.1+5.98</f>
        <v>1066.4399999999996</v>
      </c>
      <c r="P72" s="342"/>
      <c r="Q72" s="345"/>
    </row>
    <row r="73" spans="1:17" s="244" customFormat="1" ht="379.5" customHeight="1">
      <c r="A73" s="217"/>
      <c r="B73" s="24"/>
      <c r="C73" s="172"/>
      <c r="D73" s="172"/>
      <c r="E73" s="172"/>
      <c r="F73" s="171"/>
      <c r="G73" s="172"/>
      <c r="H73" s="172"/>
      <c r="I73" s="172"/>
      <c r="J73" s="171"/>
      <c r="K73" s="349"/>
      <c r="L73" s="12" t="s">
        <v>266</v>
      </c>
      <c r="M73" s="659"/>
      <c r="N73" s="638"/>
      <c r="O73" s="659"/>
      <c r="P73" s="342"/>
      <c r="Q73" s="343"/>
    </row>
    <row r="74" spans="1:17" s="244" customFormat="1" ht="409.5" customHeight="1">
      <c r="A74" s="217"/>
      <c r="B74" s="24"/>
      <c r="C74" s="172"/>
      <c r="D74" s="172"/>
      <c r="E74" s="172"/>
      <c r="F74" s="171"/>
      <c r="G74" s="172"/>
      <c r="H74" s="172"/>
      <c r="I74" s="172"/>
      <c r="J74" s="171"/>
      <c r="K74" s="349"/>
      <c r="L74" s="660" t="s">
        <v>321</v>
      </c>
      <c r="M74" s="659">
        <f>1.5+19+4.75+9.74+9.94+3.6+43.83+180.03+138+45.67+129.1+15.81+16.84+6+11.3+10.56+10.39+7.28+73.51+2.5+5+751.26+2.85+70.25+142.64+30.53</f>
        <v>1741.8799999999994</v>
      </c>
      <c r="N74" s="638"/>
      <c r="O74" s="659">
        <f>1.53+19+4.75+9.74+9.94+3.6+43.83+180.03+138+45.67+129.1+15.81+16.84+6+11.3+10.56+10.39+7.28+73.51+2.5+5+751.26+2.78+70.25+142.64+46.42+25.44+14.99+48.4+10+12.28+20.33+9.97+97.03+39.82+38.73+70.25+26.32+28.3+77+15+59.71+281.76</f>
        <v>2633.0600000000004</v>
      </c>
      <c r="P74" s="342"/>
      <c r="Q74" s="343"/>
    </row>
    <row r="75" spans="1:17" s="244" customFormat="1" ht="222.75" customHeight="1">
      <c r="A75" s="217"/>
      <c r="B75" s="24"/>
      <c r="C75" s="172"/>
      <c r="D75" s="172"/>
      <c r="E75" s="172"/>
      <c r="F75" s="171"/>
      <c r="G75" s="172"/>
      <c r="H75" s="172"/>
      <c r="I75" s="172"/>
      <c r="J75" s="171"/>
      <c r="K75" s="349"/>
      <c r="L75" s="660"/>
      <c r="M75" s="659"/>
      <c r="N75" s="638"/>
      <c r="O75" s="659"/>
      <c r="P75" s="342"/>
      <c r="Q75" s="343"/>
    </row>
    <row r="76" spans="1:17" s="244" customFormat="1" ht="250.5" customHeight="1">
      <c r="A76" s="217"/>
      <c r="B76" s="24"/>
      <c r="C76" s="172"/>
      <c r="D76" s="172"/>
      <c r="E76" s="172"/>
      <c r="F76" s="171"/>
      <c r="G76" s="172"/>
      <c r="H76" s="172"/>
      <c r="I76" s="172"/>
      <c r="J76" s="171"/>
      <c r="K76" s="349"/>
      <c r="L76" s="368" t="s">
        <v>267</v>
      </c>
      <c r="M76" s="341"/>
      <c r="N76" s="638"/>
      <c r="O76" s="659"/>
      <c r="P76" s="342"/>
      <c r="Q76" s="343"/>
    </row>
    <row r="77" spans="1:17" s="244" customFormat="1" ht="82.5" customHeight="1">
      <c r="A77" s="217"/>
      <c r="B77" s="24"/>
      <c r="C77" s="172"/>
      <c r="D77" s="172"/>
      <c r="E77" s="172"/>
      <c r="F77" s="171"/>
      <c r="G77" s="172"/>
      <c r="H77" s="172"/>
      <c r="I77" s="172"/>
      <c r="J77" s="171"/>
      <c r="K77" s="349"/>
      <c r="L77" s="369" t="s">
        <v>268</v>
      </c>
      <c r="M77" s="340">
        <f>89.1+121.9</f>
        <v>211</v>
      </c>
      <c r="N77" s="638"/>
      <c r="O77" s="252">
        <f>89.1+121.95+86.35</f>
        <v>297.39999999999998</v>
      </c>
      <c r="P77" s="342"/>
      <c r="Q77" s="343"/>
    </row>
    <row r="78" spans="1:17" s="244" customFormat="1" ht="188.25" customHeight="1">
      <c r="A78" s="217"/>
      <c r="B78" s="24"/>
      <c r="C78" s="172"/>
      <c r="D78" s="172"/>
      <c r="E78" s="172"/>
      <c r="F78" s="171"/>
      <c r="G78" s="172"/>
      <c r="H78" s="172"/>
      <c r="I78" s="172"/>
      <c r="J78" s="171"/>
      <c r="K78" s="349"/>
      <c r="L78" s="12" t="s">
        <v>269</v>
      </c>
      <c r="M78" s="273">
        <f>31.7+41.6+149.7+33</f>
        <v>256</v>
      </c>
      <c r="N78" s="639"/>
      <c r="O78" s="301">
        <f>31.7+41.58+149.67+33+23.3+146.25+37.5+105</f>
        <v>568</v>
      </c>
      <c r="P78" s="342"/>
      <c r="Q78" s="343"/>
    </row>
    <row r="79" spans="1:17" s="244" customFormat="1" ht="81.75" hidden="1" customHeight="1">
      <c r="A79" s="217"/>
      <c r="B79" s="24"/>
      <c r="C79" s="172"/>
      <c r="D79" s="172"/>
      <c r="E79" s="172"/>
      <c r="F79" s="171"/>
      <c r="G79" s="172"/>
      <c r="H79" s="172"/>
      <c r="I79" s="172"/>
      <c r="J79" s="171"/>
      <c r="K79" s="349"/>
      <c r="L79" s="71"/>
      <c r="M79" s="252"/>
      <c r="N79" s="219"/>
      <c r="O79" s="252"/>
      <c r="P79" s="342"/>
      <c r="Q79" s="343"/>
    </row>
    <row r="80" spans="1:17" s="244" customFormat="1" ht="132.75" hidden="1" customHeight="1">
      <c r="A80" s="217"/>
      <c r="B80" s="24"/>
      <c r="C80" s="172"/>
      <c r="D80" s="172"/>
      <c r="E80" s="172"/>
      <c r="F80" s="171"/>
      <c r="G80" s="172"/>
      <c r="H80" s="172"/>
      <c r="I80" s="172"/>
      <c r="J80" s="171"/>
      <c r="K80" s="349"/>
      <c r="L80" s="71"/>
      <c r="M80" s="252"/>
      <c r="N80" s="219"/>
      <c r="O80" s="252"/>
      <c r="P80" s="342"/>
      <c r="Q80" s="343"/>
    </row>
    <row r="81" spans="1:17" s="244" customFormat="1" ht="191.25" hidden="1" customHeight="1">
      <c r="A81" s="213"/>
      <c r="B81" s="24"/>
      <c r="C81" s="172"/>
      <c r="D81" s="172"/>
      <c r="E81" s="172"/>
      <c r="F81" s="171"/>
      <c r="G81" s="172"/>
      <c r="H81" s="172"/>
      <c r="I81" s="172"/>
      <c r="J81" s="171"/>
      <c r="K81" s="349"/>
      <c r="L81" s="148"/>
      <c r="M81" s="252"/>
      <c r="N81" s="219"/>
      <c r="O81" s="252"/>
      <c r="P81" s="342"/>
      <c r="Q81" s="343"/>
    </row>
    <row r="82" spans="1:17" s="244" customFormat="1" ht="333.75" customHeight="1">
      <c r="A82" s="216" t="s">
        <v>62</v>
      </c>
      <c r="B82" s="97" t="s">
        <v>2</v>
      </c>
      <c r="C82" s="364">
        <v>48425.9</v>
      </c>
      <c r="D82" s="364">
        <v>1464.8</v>
      </c>
      <c r="E82" s="364">
        <v>134.6</v>
      </c>
      <c r="F82" s="363">
        <f>E82+D82+C82</f>
        <v>50025.3</v>
      </c>
      <c r="G82" s="364">
        <v>47681.5</v>
      </c>
      <c r="H82" s="386">
        <f>1464.8-0.1</f>
        <v>1464.7</v>
      </c>
      <c r="I82" s="364">
        <v>134.6</v>
      </c>
      <c r="J82" s="363">
        <f>G82+I82+H82</f>
        <v>49280.799999999996</v>
      </c>
      <c r="K82" s="377">
        <f>J82*100/F82</f>
        <v>98.5117530529552</v>
      </c>
      <c r="L82" s="123" t="s">
        <v>320</v>
      </c>
      <c r="M82" s="353">
        <f>17176.33+4967.85+144.27+916.2+165.06+77.19+95.4+9.45+79.96+1.72+229.17</f>
        <v>23862.600000000002</v>
      </c>
      <c r="N82" s="620">
        <f>SUM(M82:M95)</f>
        <v>33273.600000000006</v>
      </c>
      <c r="O82" s="326">
        <f>24231.26+6638.19+211.86+1153.74+277.03+296.9+266.5+327.64+59.42+24.75+9.1+107.79+1.72+2178.3</f>
        <v>35784.199999999997</v>
      </c>
      <c r="P82" s="354">
        <f>O82+O83+O85+O86+O87+O88+O89+O90+O91+O94+O95+O96</f>
        <v>49280.9</v>
      </c>
      <c r="Q82" s="354">
        <f>J82-P82</f>
        <v>-0.10000000000582077</v>
      </c>
    </row>
    <row r="83" spans="1:17" s="244" customFormat="1" ht="401.25" customHeight="1">
      <c r="A83" s="217"/>
      <c r="B83" s="225"/>
      <c r="C83" s="172"/>
      <c r="D83" s="172"/>
      <c r="E83" s="172"/>
      <c r="F83" s="171"/>
      <c r="G83" s="172"/>
      <c r="H83" s="172"/>
      <c r="I83" s="172"/>
      <c r="J83" s="171"/>
      <c r="K83" s="349"/>
      <c r="L83" s="124" t="s">
        <v>272</v>
      </c>
      <c r="M83" s="340">
        <f>26.5+31.34+50+9.37+30+524.58+0.83+234.4+7.3+91.5+93.9+77.8+4.08+4.59+200+39.99+35.96+14.71+11.97+117.28</f>
        <v>1606.1</v>
      </c>
      <c r="N83" s="621"/>
      <c r="O83" s="625">
        <f>26.5+31.34+50+9.37+30+524.58+0.83+234.4+7.3+91.5+93.9+77.8+4.08+4.59+200+39.99+35.96+14.71+11.97+43.54+144.38+108.2+34.1+61.8+37.03+1012.8+11.93+72.8</f>
        <v>3015.3999999999996</v>
      </c>
      <c r="P83" s="645"/>
      <c r="Q83" s="343"/>
    </row>
    <row r="84" spans="1:17" s="244" customFormat="1" ht="151.5" customHeight="1">
      <c r="A84" s="217"/>
      <c r="B84" s="225"/>
      <c r="C84" s="172"/>
      <c r="D84" s="172"/>
      <c r="E84" s="172"/>
      <c r="F84" s="171"/>
      <c r="G84" s="172"/>
      <c r="H84" s="172"/>
      <c r="I84" s="172"/>
      <c r="J84" s="171"/>
      <c r="K84" s="349"/>
      <c r="L84" s="368" t="s">
        <v>271</v>
      </c>
      <c r="M84" s="340"/>
      <c r="N84" s="621"/>
      <c r="O84" s="625"/>
      <c r="P84" s="645"/>
      <c r="Q84" s="343"/>
    </row>
    <row r="85" spans="1:17" s="244" customFormat="1" ht="70.5" customHeight="1">
      <c r="A85" s="217"/>
      <c r="B85" s="225"/>
      <c r="C85" s="172"/>
      <c r="D85" s="172"/>
      <c r="E85" s="172"/>
      <c r="F85" s="171"/>
      <c r="G85" s="172"/>
      <c r="H85" s="172"/>
      <c r="I85" s="172"/>
      <c r="J85" s="171"/>
      <c r="K85" s="349"/>
      <c r="L85" s="124" t="s">
        <v>273</v>
      </c>
      <c r="M85" s="340">
        <v>217.9</v>
      </c>
      <c r="N85" s="621"/>
      <c r="O85" s="252">
        <v>217.8</v>
      </c>
      <c r="P85" s="645"/>
      <c r="Q85" s="343"/>
    </row>
    <row r="86" spans="1:17" s="244" customFormat="1" ht="87.75" customHeight="1">
      <c r="A86" s="217"/>
      <c r="B86" s="225"/>
      <c r="C86" s="172"/>
      <c r="D86" s="172"/>
      <c r="E86" s="172"/>
      <c r="F86" s="171"/>
      <c r="G86" s="172"/>
      <c r="H86" s="172"/>
      <c r="I86" s="172"/>
      <c r="J86" s="171"/>
      <c r="K86" s="349"/>
      <c r="L86" s="370" t="s">
        <v>274</v>
      </c>
      <c r="M86" s="340">
        <f>97+873.41</f>
        <v>970.41</v>
      </c>
      <c r="N86" s="621"/>
      <c r="O86" s="252">
        <f>951.1+19.4</f>
        <v>970.5</v>
      </c>
      <c r="P86" s="645"/>
      <c r="Q86" s="343"/>
    </row>
    <row r="87" spans="1:17" s="244" customFormat="1" ht="78.75" customHeight="1">
      <c r="A87" s="217"/>
      <c r="B87" s="225"/>
      <c r="C87" s="172"/>
      <c r="D87" s="172"/>
      <c r="E87" s="172"/>
      <c r="F87" s="171"/>
      <c r="G87" s="172"/>
      <c r="H87" s="172"/>
      <c r="I87" s="172"/>
      <c r="J87" s="171"/>
      <c r="K87" s="349"/>
      <c r="L87" s="124" t="s">
        <v>275</v>
      </c>
      <c r="M87" s="340">
        <f>6.79+332.5</f>
        <v>339.29</v>
      </c>
      <c r="N87" s="621"/>
      <c r="O87" s="252">
        <f>10.2+498.7</f>
        <v>508.9</v>
      </c>
      <c r="P87" s="342"/>
      <c r="Q87" s="343"/>
    </row>
    <row r="88" spans="1:17" s="244" customFormat="1" ht="70.5" customHeight="1">
      <c r="A88" s="217"/>
      <c r="B88" s="225"/>
      <c r="C88" s="172"/>
      <c r="D88" s="172"/>
      <c r="E88" s="172"/>
      <c r="F88" s="171"/>
      <c r="G88" s="172"/>
      <c r="H88" s="172"/>
      <c r="I88" s="172"/>
      <c r="J88" s="171"/>
      <c r="K88" s="349"/>
      <c r="L88" s="370" t="s">
        <v>220</v>
      </c>
      <c r="M88" s="340">
        <f>3.1+15+134.6</f>
        <v>152.69999999999999</v>
      </c>
      <c r="N88" s="621"/>
      <c r="O88" s="252">
        <f>3.1+15+134.6</f>
        <v>152.69999999999999</v>
      </c>
      <c r="P88" s="342"/>
      <c r="Q88" s="343"/>
    </row>
    <row r="89" spans="1:17" s="244" customFormat="1" ht="381.75" customHeight="1">
      <c r="A89" s="217"/>
      <c r="B89" s="225"/>
      <c r="C89" s="172"/>
      <c r="D89" s="172"/>
      <c r="E89" s="172"/>
      <c r="F89" s="171"/>
      <c r="G89" s="172"/>
      <c r="H89" s="172"/>
      <c r="I89" s="172"/>
      <c r="J89" s="171"/>
      <c r="K89" s="349"/>
      <c r="L89" s="124" t="s">
        <v>319</v>
      </c>
      <c r="M89" s="340">
        <f>1835.14+527.19+26.66+204.47+102.85+134.34+113.93+144.55+19.09+28.5+12.89+0.09+4.37+24.43+1.13</f>
        <v>3179.6299999999997</v>
      </c>
      <c r="N89" s="621"/>
      <c r="O89" s="252">
        <f>2543.07+703.43+45.14+259.79+133.51+220.1+250.03+144.55+19.1+28.5+41.79+0.13+4.37+1.13+193.94+171.32</f>
        <v>4759.8999999999996</v>
      </c>
      <c r="P89" s="342"/>
      <c r="Q89" s="343"/>
    </row>
    <row r="90" spans="1:17" s="244" customFormat="1" ht="397.5" customHeight="1">
      <c r="A90" s="217"/>
      <c r="B90" s="225"/>
      <c r="C90" s="172"/>
      <c r="D90" s="172"/>
      <c r="E90" s="172"/>
      <c r="F90" s="171"/>
      <c r="G90" s="172"/>
      <c r="H90" s="172"/>
      <c r="I90" s="172"/>
      <c r="J90" s="171"/>
      <c r="K90" s="349"/>
      <c r="L90" s="124" t="s">
        <v>318</v>
      </c>
      <c r="M90" s="659">
        <f>3.46+13+2.4+20+4.5+11+50+5.1+10.5+2.1+500+220+32.66+8.85+25+2+22+22+5.4+24.6+8.4+17.03+27.61+1299.96+4.9+23.2+8+5.21+10.6+9.25+50.6</f>
        <v>2449.3299999999995</v>
      </c>
      <c r="N90" s="621"/>
      <c r="O90" s="252">
        <f>3.5+13+2.4+20+4.5+11+50+5.1+10.5+2.1+500+220+32.66+8.85+25+2+22+22+5.4</f>
        <v>960.01</v>
      </c>
      <c r="P90" s="645"/>
      <c r="Q90" s="345"/>
    </row>
    <row r="91" spans="1:17" s="244" customFormat="1" ht="406.5" customHeight="1">
      <c r="A91" s="217"/>
      <c r="B91" s="225"/>
      <c r="C91" s="172"/>
      <c r="D91" s="172"/>
      <c r="E91" s="172"/>
      <c r="F91" s="171"/>
      <c r="G91" s="172"/>
      <c r="H91" s="172"/>
      <c r="I91" s="172"/>
      <c r="J91" s="171"/>
      <c r="K91" s="349"/>
      <c r="L91" s="368" t="s">
        <v>347</v>
      </c>
      <c r="M91" s="659"/>
      <c r="N91" s="621"/>
      <c r="O91" s="659">
        <f>24.6+8.4+17.03+27.61+1299.96+4.9+23.2+8+5.21+10.6+9.25+119.42+9+14+50.25+264+258.32+9+6+5+19.3+3.44+1.5+2.5+2.56+0.04</f>
        <v>2203.0900000000006</v>
      </c>
      <c r="P91" s="645"/>
      <c r="Q91" s="346"/>
    </row>
    <row r="92" spans="1:17" s="244" customFormat="1" ht="27" hidden="1" customHeight="1">
      <c r="A92" s="217"/>
      <c r="B92" s="225"/>
      <c r="C92" s="172"/>
      <c r="D92" s="172"/>
      <c r="E92" s="172"/>
      <c r="F92" s="171"/>
      <c r="G92" s="172"/>
      <c r="H92" s="172"/>
      <c r="I92" s="172"/>
      <c r="J92" s="171"/>
      <c r="K92" s="349"/>
      <c r="L92" s="368"/>
      <c r="M92" s="340"/>
      <c r="N92" s="621"/>
      <c r="O92" s="659"/>
      <c r="P92" s="342"/>
      <c r="Q92" s="346"/>
    </row>
    <row r="93" spans="1:17" s="244" customFormat="1" ht="116.25" customHeight="1">
      <c r="A93" s="217"/>
      <c r="B93" s="225"/>
      <c r="C93" s="172"/>
      <c r="D93" s="172"/>
      <c r="E93" s="172"/>
      <c r="F93" s="171"/>
      <c r="G93" s="172"/>
      <c r="H93" s="172"/>
      <c r="I93" s="172"/>
      <c r="J93" s="171"/>
      <c r="K93" s="349"/>
      <c r="L93" s="368" t="s">
        <v>348</v>
      </c>
      <c r="M93" s="340"/>
      <c r="N93" s="621"/>
      <c r="O93" s="659"/>
      <c r="P93" s="342"/>
      <c r="Q93" s="346"/>
    </row>
    <row r="94" spans="1:17" s="244" customFormat="1" ht="131.25" customHeight="1">
      <c r="A94" s="217"/>
      <c r="B94" s="225"/>
      <c r="C94" s="172"/>
      <c r="D94" s="172"/>
      <c r="E94" s="172"/>
      <c r="F94" s="171"/>
      <c r="G94" s="172"/>
      <c r="H94" s="172"/>
      <c r="I94" s="172"/>
      <c r="J94" s="171"/>
      <c r="K94" s="349"/>
      <c r="L94" s="124" t="s">
        <v>276</v>
      </c>
      <c r="M94" s="273">
        <f>37.8+11.18+65+29.17+252.49</f>
        <v>395.64</v>
      </c>
      <c r="N94" s="635"/>
      <c r="O94" s="252">
        <f>75.6+22.3+72.1+29.2+252.5</f>
        <v>451.7</v>
      </c>
      <c r="P94" s="342"/>
      <c r="Q94" s="343"/>
    </row>
    <row r="95" spans="1:17" s="244" customFormat="1" ht="89.25" customHeight="1">
      <c r="A95" s="21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124" t="s">
        <v>277</v>
      </c>
      <c r="M95" s="273">
        <v>100</v>
      </c>
      <c r="N95" s="348"/>
      <c r="O95" s="252">
        <v>100</v>
      </c>
      <c r="P95" s="342"/>
      <c r="Q95" s="343"/>
    </row>
    <row r="96" spans="1:17" s="244" customFormat="1" ht="107.25" customHeight="1">
      <c r="A96" s="213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151" t="s">
        <v>307</v>
      </c>
      <c r="M96" s="340"/>
      <c r="N96" s="347"/>
      <c r="O96" s="252">
        <f>13.5+40.3+102.9</f>
        <v>156.69999999999999</v>
      </c>
      <c r="P96" s="342"/>
      <c r="Q96" s="343"/>
    </row>
    <row r="97" spans="1:19" s="244" customFormat="1" ht="69.75" customHeight="1">
      <c r="A97" s="216" t="s">
        <v>63</v>
      </c>
      <c r="B97" s="299" t="s">
        <v>4</v>
      </c>
      <c r="C97" s="364">
        <v>1988.3</v>
      </c>
      <c r="D97" s="364"/>
      <c r="E97" s="364"/>
      <c r="F97" s="363">
        <f>E97+D97+C97</f>
        <v>1988.3</v>
      </c>
      <c r="G97" s="364">
        <v>1978.9</v>
      </c>
      <c r="H97" s="364"/>
      <c r="I97" s="364"/>
      <c r="J97" s="363">
        <f>G97+H97+I97</f>
        <v>1978.9</v>
      </c>
      <c r="K97" s="377">
        <f>J97/F97*100</f>
        <v>99.527234320776543</v>
      </c>
      <c r="L97" s="8" t="s">
        <v>217</v>
      </c>
      <c r="M97" s="353">
        <v>342.5</v>
      </c>
      <c r="N97" s="620">
        <f>M97+M98+M101</f>
        <v>1366</v>
      </c>
      <c r="O97" s="252">
        <v>342.5</v>
      </c>
      <c r="P97" s="342"/>
      <c r="Q97" s="343">
        <f>O97+O98+O99+O100+O101</f>
        <v>1978.9</v>
      </c>
      <c r="R97" s="332">
        <f>J97-Q97</f>
        <v>0</v>
      </c>
    </row>
    <row r="98" spans="1:19" s="244" customFormat="1" ht="399.75" customHeight="1">
      <c r="A98" s="217"/>
      <c r="B98" s="214"/>
      <c r="C98" s="172"/>
      <c r="D98" s="172"/>
      <c r="E98" s="172"/>
      <c r="F98" s="171"/>
      <c r="G98" s="172"/>
      <c r="H98" s="172"/>
      <c r="I98" s="172"/>
      <c r="J98" s="171"/>
      <c r="K98" s="349"/>
      <c r="L98" s="368" t="s">
        <v>308</v>
      </c>
      <c r="M98" s="625">
        <f>10+15.25+20+7+113.65+24.6+7+6.1+30+3+7.2+6.1+11.19+3+6+15+3+7.72+15+5.6+96+33.16+109+4.23+10</f>
        <v>568.80000000000007</v>
      </c>
      <c r="N98" s="621"/>
      <c r="O98" s="252">
        <f>10+15.25+20+7+113.65+24.6+4.26+10+14.98+38.75+30+93.97+35+102.66+10.02</f>
        <v>530.14</v>
      </c>
      <c r="P98" s="645">
        <f>O98+O99+O100</f>
        <v>1069.7</v>
      </c>
      <c r="Q98" s="343"/>
    </row>
    <row r="99" spans="1:19" s="244" customFormat="1" ht="357.75" customHeight="1">
      <c r="A99" s="217"/>
      <c r="B99" s="214"/>
      <c r="C99" s="172"/>
      <c r="D99" s="172"/>
      <c r="E99" s="172"/>
      <c r="F99" s="171"/>
      <c r="G99" s="172"/>
      <c r="H99" s="172"/>
      <c r="I99" s="172"/>
      <c r="J99" s="171"/>
      <c r="K99" s="349"/>
      <c r="L99" s="368" t="s">
        <v>264</v>
      </c>
      <c r="M99" s="625"/>
      <c r="N99" s="621"/>
      <c r="O99" s="252">
        <f>7+6.1+30+3+7.2+6.1+11.2+3+6+15+3+7.72+15+5.6+96+22.72+109</f>
        <v>353.64</v>
      </c>
      <c r="P99" s="645"/>
      <c r="Q99" s="343"/>
    </row>
    <row r="100" spans="1:19" s="244" customFormat="1" ht="147" customHeight="1">
      <c r="A100" s="217"/>
      <c r="B100" s="214"/>
      <c r="C100" s="172"/>
      <c r="D100" s="172"/>
      <c r="E100" s="172"/>
      <c r="F100" s="171"/>
      <c r="G100" s="172"/>
      <c r="H100" s="172"/>
      <c r="I100" s="172"/>
      <c r="J100" s="171"/>
      <c r="K100" s="349"/>
      <c r="L100" s="368" t="s">
        <v>349</v>
      </c>
      <c r="M100" s="625"/>
      <c r="N100" s="621"/>
      <c r="O100" s="252">
        <f>40+10.6+26.04+4.6+13.11+76.6+14.97</f>
        <v>185.92</v>
      </c>
      <c r="P100" s="645"/>
      <c r="Q100" s="343"/>
    </row>
    <row r="101" spans="1:19" s="244" customFormat="1" ht="345.75" customHeight="1">
      <c r="A101" s="217"/>
      <c r="B101" s="214"/>
      <c r="C101" s="172"/>
      <c r="D101" s="172"/>
      <c r="E101" s="172"/>
      <c r="F101" s="171"/>
      <c r="G101" s="172"/>
      <c r="H101" s="172"/>
      <c r="I101" s="172"/>
      <c r="J101" s="171"/>
      <c r="K101" s="349"/>
      <c r="L101" s="71" t="s">
        <v>309</v>
      </c>
      <c r="M101" s="273">
        <f>10.5+49.69+121+128.33+10.31+25+35.9+14+25.97+30+4</f>
        <v>454.69999999999993</v>
      </c>
      <c r="N101" s="635"/>
      <c r="O101" s="252">
        <f>10.5+49.69+121+128.33+10.31+25+35.9+14+25.97+95+30+15+6</f>
        <v>566.69999999999993</v>
      </c>
      <c r="P101" s="342"/>
      <c r="Q101" s="343"/>
    </row>
    <row r="102" spans="1:19" s="244" customFormat="1" ht="235.5" customHeight="1">
      <c r="A102" s="216" t="s">
        <v>64</v>
      </c>
      <c r="B102" s="22" t="s">
        <v>38</v>
      </c>
      <c r="C102" s="364">
        <v>32671.7</v>
      </c>
      <c r="D102" s="364"/>
      <c r="E102" s="364"/>
      <c r="F102" s="363">
        <f>E102+D102+C102</f>
        <v>32671.7</v>
      </c>
      <c r="G102" s="364">
        <v>30588.5</v>
      </c>
      <c r="H102" s="364"/>
      <c r="I102" s="364"/>
      <c r="J102" s="363">
        <f>I102+H102+G102</f>
        <v>30588.5</v>
      </c>
      <c r="K102" s="377">
        <f>J102*100/F102</f>
        <v>93.623839592062851</v>
      </c>
      <c r="L102" s="8" t="s">
        <v>263</v>
      </c>
      <c r="M102" s="276">
        <f>3961.47+1099.01+16.81+7.7+268.76+8+3.5</f>
        <v>5365.25</v>
      </c>
      <c r="N102" s="620">
        <f>M102+M103</f>
        <v>22512.099999999995</v>
      </c>
      <c r="O102" s="353">
        <f>5157.87+1604.54+9.38+21.84+9.6+410.07+8+1+3.5</f>
        <v>7225.8</v>
      </c>
      <c r="P102" s="612">
        <f>O102+O103</f>
        <v>30588.499999999996</v>
      </c>
      <c r="Q102" s="645">
        <f>J102-P102</f>
        <v>0</v>
      </c>
    </row>
    <row r="103" spans="1:19" s="244" customFormat="1" ht="252" customHeight="1">
      <c r="A103" s="213"/>
      <c r="B103" s="260"/>
      <c r="C103" s="367"/>
      <c r="D103" s="367"/>
      <c r="E103" s="367"/>
      <c r="F103" s="366"/>
      <c r="G103" s="367"/>
      <c r="H103" s="367"/>
      <c r="I103" s="367"/>
      <c r="J103" s="366"/>
      <c r="K103" s="350"/>
      <c r="L103" s="148" t="s">
        <v>310</v>
      </c>
      <c r="M103" s="277">
        <f>12954.75+3628.12+59.06+114.09+161.69+8.42+185.54+5.76+3.73+25.69</f>
        <v>17146.849999999995</v>
      </c>
      <c r="N103" s="635"/>
      <c r="O103" s="273">
        <f>17006.24+5317.12+77.8+133.57+383.72+8.42+297.1+5.76+5.5+44.43+83.04</f>
        <v>23362.699999999997</v>
      </c>
      <c r="P103" s="614"/>
      <c r="Q103" s="645"/>
    </row>
    <row r="104" spans="1:19" s="244" customFormat="1" ht="223.5" customHeight="1">
      <c r="A104" s="217" t="s">
        <v>65</v>
      </c>
      <c r="B104" s="214" t="s">
        <v>6</v>
      </c>
      <c r="C104" s="172">
        <v>2760.9</v>
      </c>
      <c r="D104" s="172"/>
      <c r="E104" s="171"/>
      <c r="F104" s="171">
        <f>E104+D104+C104</f>
        <v>2760.9</v>
      </c>
      <c r="G104" s="172">
        <v>2641.4</v>
      </c>
      <c r="H104" s="172"/>
      <c r="I104" s="172"/>
      <c r="J104" s="171">
        <f>I104+H104+G104</f>
        <v>2641.4</v>
      </c>
      <c r="K104" s="349">
        <f>J104*100/F104</f>
        <v>95.671701256836542</v>
      </c>
      <c r="L104" s="12" t="s">
        <v>261</v>
      </c>
      <c r="M104" s="353">
        <f>957.78+275.7+12.5+2.4+20+4.1+28.1+24.82</f>
        <v>1325.3999999999999</v>
      </c>
      <c r="N104" s="653">
        <f>M104+M105</f>
        <v>1616.3999999999999</v>
      </c>
      <c r="O104" s="353">
        <f>1272.52+364.08+20.32+2.4+18.63+6.2+35.5+244.75+139</f>
        <v>2103.4</v>
      </c>
      <c r="P104" s="612">
        <f>O104+O105</f>
        <v>2641.4</v>
      </c>
      <c r="Q104" s="645">
        <f>J104-P104</f>
        <v>0</v>
      </c>
      <c r="R104" s="335"/>
    </row>
    <row r="105" spans="1:19" s="244" customFormat="1" ht="409.5" customHeight="1">
      <c r="A105" s="213"/>
      <c r="B105" s="259"/>
      <c r="C105" s="367"/>
      <c r="D105" s="371"/>
      <c r="E105" s="366"/>
      <c r="F105" s="366"/>
      <c r="G105" s="367"/>
      <c r="H105" s="367"/>
      <c r="I105" s="367"/>
      <c r="J105" s="366"/>
      <c r="K105" s="350"/>
      <c r="L105" s="148" t="s">
        <v>262</v>
      </c>
      <c r="M105" s="273">
        <f>14+2.4+54.98+38.74+28.8+11.2+50+31.8+37+21+1+0.08</f>
        <v>291</v>
      </c>
      <c r="N105" s="654"/>
      <c r="O105" s="333">
        <f>14+2.4+55+38.74+28.8+11.2+50+31.8+37+21+1+89.44+9.8+58.5+25.64+29.67+19+6.6+8.4+0.01</f>
        <v>538</v>
      </c>
      <c r="P105" s="614"/>
      <c r="Q105" s="655"/>
    </row>
    <row r="106" spans="1:19" s="244" customFormat="1" ht="274.5" customHeight="1">
      <c r="A106" s="351" t="s">
        <v>31</v>
      </c>
      <c r="B106" s="298" t="s">
        <v>72</v>
      </c>
      <c r="C106" s="363">
        <v>41324.199999999997</v>
      </c>
      <c r="D106" s="363">
        <v>63023.4</v>
      </c>
      <c r="E106" s="363">
        <v>13805</v>
      </c>
      <c r="F106" s="363">
        <f>E106+D106+C106</f>
        <v>118152.59999999999</v>
      </c>
      <c r="G106" s="363">
        <v>32834.5</v>
      </c>
      <c r="H106" s="372">
        <v>61733.3</v>
      </c>
      <c r="I106" s="363">
        <v>13805</v>
      </c>
      <c r="J106" s="363">
        <f>I106+H106+G106</f>
        <v>108372.8</v>
      </c>
      <c r="K106" s="377">
        <f>J106*100/F106</f>
        <v>91.722738221588017</v>
      </c>
      <c r="L106" s="26" t="s">
        <v>341</v>
      </c>
      <c r="M106" s="353">
        <f>9.5+8.4+6.5+9.05+13.64+6</f>
        <v>53.09</v>
      </c>
      <c r="N106" s="620">
        <f>M106+M107+M110+M111+M112+M113+M115+M117+M119</f>
        <v>50198.1</v>
      </c>
      <c r="O106" s="252">
        <f>9.5+8.4+6.5+9.05+16.14+36.53+8.3+9.1+11.6+4.21+29.47</f>
        <v>148.79999999999998</v>
      </c>
      <c r="P106" s="342"/>
      <c r="Q106" s="343">
        <f>O106+O107+O108+O109+O110+O111+O112+O113+O114+O115+O117+O118+O119</f>
        <v>108372.80000000002</v>
      </c>
      <c r="R106" s="342">
        <f>J106-Q106</f>
        <v>0</v>
      </c>
      <c r="S106" s="291"/>
    </row>
    <row r="107" spans="1:19" s="244" customFormat="1" ht="147" customHeight="1">
      <c r="A107" s="77"/>
      <c r="B107" s="292"/>
      <c r="C107" s="171"/>
      <c r="D107" s="171"/>
      <c r="E107" s="172"/>
      <c r="F107" s="171"/>
      <c r="G107" s="171"/>
      <c r="H107" s="171"/>
      <c r="I107" s="171"/>
      <c r="J107" s="171"/>
      <c r="K107" s="349"/>
      <c r="L107" s="71" t="s">
        <v>258</v>
      </c>
      <c r="M107" s="340">
        <f>3039.83+865.66+4.9+60.7</f>
        <v>3971.0899999999997</v>
      </c>
      <c r="N107" s="621"/>
      <c r="O107" s="252">
        <f>4466.1+1283.02+4.9+222.4</f>
        <v>5976.42</v>
      </c>
      <c r="P107" s="342"/>
      <c r="Q107" s="343"/>
    </row>
    <row r="108" spans="1:19" s="244" customFormat="1" ht="97.5" customHeight="1">
      <c r="A108" s="77"/>
      <c r="B108" s="292"/>
      <c r="C108" s="171"/>
      <c r="D108" s="171"/>
      <c r="E108" s="172"/>
      <c r="F108" s="171"/>
      <c r="G108" s="171"/>
      <c r="H108" s="171"/>
      <c r="I108" s="171"/>
      <c r="J108" s="171"/>
      <c r="K108" s="349"/>
      <c r="L108" s="71" t="s">
        <v>339</v>
      </c>
      <c r="M108" s="340"/>
      <c r="N108" s="621"/>
      <c r="O108" s="275">
        <f>3329.8+423.6</f>
        <v>3753.4</v>
      </c>
      <c r="P108" s="342"/>
      <c r="Q108" s="343"/>
    </row>
    <row r="109" spans="1:19" s="244" customFormat="1" ht="78" customHeight="1">
      <c r="A109" s="77"/>
      <c r="B109" s="292"/>
      <c r="C109" s="171"/>
      <c r="D109" s="171"/>
      <c r="E109" s="172"/>
      <c r="F109" s="171"/>
      <c r="G109" s="171"/>
      <c r="H109" s="171"/>
      <c r="I109" s="171"/>
      <c r="J109" s="171"/>
      <c r="K109" s="349"/>
      <c r="L109" s="71" t="s">
        <v>342</v>
      </c>
      <c r="M109" s="340"/>
      <c r="N109" s="621"/>
      <c r="O109" s="252">
        <f>67.95+8.65</f>
        <v>76.600000000000009</v>
      </c>
      <c r="P109" s="342"/>
      <c r="Q109" s="343"/>
    </row>
    <row r="110" spans="1:19" s="244" customFormat="1" ht="125.25" customHeight="1">
      <c r="A110" s="77"/>
      <c r="B110" s="292"/>
      <c r="C110" s="171"/>
      <c r="D110" s="171"/>
      <c r="E110" s="172"/>
      <c r="F110" s="171"/>
      <c r="G110" s="171"/>
      <c r="H110" s="171"/>
      <c r="I110" s="171"/>
      <c r="J110" s="171"/>
      <c r="K110" s="349"/>
      <c r="L110" s="71" t="s">
        <v>340</v>
      </c>
      <c r="M110" s="340">
        <f>24.48+150.98+85.98+85.98</f>
        <v>347.42</v>
      </c>
      <c r="N110" s="621"/>
      <c r="O110" s="252">
        <f>24.48+352.7+85.99+94.05+44.1</f>
        <v>601.32000000000005</v>
      </c>
      <c r="P110" s="342"/>
      <c r="Q110" s="343"/>
    </row>
    <row r="111" spans="1:19" s="244" customFormat="1" ht="84" customHeight="1">
      <c r="A111" s="77"/>
      <c r="B111" s="292"/>
      <c r="C111" s="171"/>
      <c r="D111" s="171"/>
      <c r="E111" s="172"/>
      <c r="F111" s="171"/>
      <c r="G111" s="171"/>
      <c r="H111" s="171"/>
      <c r="I111" s="171"/>
      <c r="J111" s="171"/>
      <c r="K111" s="349"/>
      <c r="L111" s="71" t="s">
        <v>255</v>
      </c>
      <c r="M111" s="340">
        <f>100+22.7</f>
        <v>122.7</v>
      </c>
      <c r="N111" s="621"/>
      <c r="O111" s="252">
        <f>100+50</f>
        <v>150</v>
      </c>
      <c r="P111" s="342"/>
      <c r="Q111" s="343"/>
    </row>
    <row r="112" spans="1:19" s="244" customFormat="1" ht="86.25" customHeight="1">
      <c r="A112" s="77"/>
      <c r="B112" s="292"/>
      <c r="C112" s="171"/>
      <c r="D112" s="171"/>
      <c r="E112" s="172"/>
      <c r="F112" s="171"/>
      <c r="G112" s="171"/>
      <c r="H112" s="171"/>
      <c r="I112" s="171"/>
      <c r="J112" s="171"/>
      <c r="K112" s="349"/>
      <c r="L112" s="71" t="s">
        <v>253</v>
      </c>
      <c r="M112" s="340">
        <f>47.67+1081.71+92.82</f>
        <v>1222.2</v>
      </c>
      <c r="N112" s="621"/>
      <c r="O112" s="252">
        <f>47.67+1664.17+92.82+156+428.32+143.65+6032.31+230</f>
        <v>8794.94</v>
      </c>
      <c r="P112" s="342"/>
      <c r="Q112" s="343"/>
    </row>
    <row r="113" spans="1:17" s="244" customFormat="1" ht="78.75" customHeight="1">
      <c r="A113" s="77"/>
      <c r="B113" s="292"/>
      <c r="C113" s="171"/>
      <c r="D113" s="171"/>
      <c r="E113" s="172"/>
      <c r="F113" s="171"/>
      <c r="G113" s="171"/>
      <c r="H113" s="171"/>
      <c r="I113" s="171"/>
      <c r="J113" s="171"/>
      <c r="K113" s="349"/>
      <c r="L113" s="369" t="s">
        <v>350</v>
      </c>
      <c r="M113" s="340">
        <v>510.2</v>
      </c>
      <c r="N113" s="621"/>
      <c r="O113" s="252">
        <f>10.2+500</f>
        <v>510.2</v>
      </c>
      <c r="P113" s="342"/>
      <c r="Q113" s="343"/>
    </row>
    <row r="114" spans="1:17" s="244" customFormat="1" ht="204.75" customHeight="1">
      <c r="A114" s="77"/>
      <c r="B114" s="292"/>
      <c r="C114" s="171"/>
      <c r="D114" s="171"/>
      <c r="E114" s="172"/>
      <c r="F114" s="171"/>
      <c r="G114" s="171"/>
      <c r="H114" s="171"/>
      <c r="I114" s="171"/>
      <c r="J114" s="171"/>
      <c r="K114" s="349"/>
      <c r="L114" s="369" t="s">
        <v>254</v>
      </c>
      <c r="M114" s="340"/>
      <c r="N114" s="621"/>
      <c r="O114" s="252">
        <f>223.59+39.95+127.74+862.61+9.09+344.78+20+193.54</f>
        <v>1821.3</v>
      </c>
      <c r="P114" s="342"/>
      <c r="Q114" s="343"/>
    </row>
    <row r="115" spans="1:17" s="244" customFormat="1" ht="409.5" customHeight="1">
      <c r="A115" s="221"/>
      <c r="B115" s="292"/>
      <c r="C115" s="171"/>
      <c r="D115" s="171"/>
      <c r="E115" s="172"/>
      <c r="F115" s="171"/>
      <c r="G115" s="171"/>
      <c r="H115" s="171"/>
      <c r="I115" s="171"/>
      <c r="J115" s="171"/>
      <c r="K115" s="349"/>
      <c r="L115" s="12" t="s">
        <v>259</v>
      </c>
      <c r="M115" s="340">
        <f>12+4.56+14.5+30+25.35+9.45+21.76+12.97+8.16+10.29+4.14+8.5+4.05+12.15+6.4</f>
        <v>184.28</v>
      </c>
      <c r="N115" s="621"/>
      <c r="O115" s="252">
        <f>12+4.56+14.5+30+25.35+9.45+21.76+12.97+8.16+10.29+4.14+8.5+4.05+12.15+6.4</f>
        <v>184.28</v>
      </c>
      <c r="P115" s="656">
        <f>O115+O117+O118</f>
        <v>1024.22</v>
      </c>
      <c r="Q115" s="343"/>
    </row>
    <row r="116" spans="1:17" s="244" customFormat="1" ht="390.75" hidden="1" customHeight="1">
      <c r="A116" s="221"/>
      <c r="B116" s="339"/>
      <c r="C116" s="171"/>
      <c r="D116" s="171"/>
      <c r="E116" s="172"/>
      <c r="F116" s="171"/>
      <c r="G116" s="171"/>
      <c r="H116" s="171"/>
      <c r="I116" s="171"/>
      <c r="J116" s="171"/>
      <c r="K116" s="349"/>
      <c r="L116" s="12"/>
      <c r="M116" s="340"/>
      <c r="N116" s="621"/>
      <c r="O116" s="252"/>
      <c r="P116" s="656"/>
      <c r="Q116" s="343"/>
    </row>
    <row r="117" spans="1:17" s="244" customFormat="1" ht="361.5" customHeight="1">
      <c r="A117" s="221"/>
      <c r="B117" s="607"/>
      <c r="C117" s="651"/>
      <c r="D117" s="651"/>
      <c r="E117" s="657"/>
      <c r="F117" s="651"/>
      <c r="G117" s="651"/>
      <c r="H117" s="651"/>
      <c r="I117" s="651"/>
      <c r="J117" s="651"/>
      <c r="K117" s="652"/>
      <c r="L117" s="12" t="s">
        <v>256</v>
      </c>
      <c r="M117" s="340">
        <f>7.68+5.67+10.2+8.1+4.8+2.56+4+6.35+7.06+3.7+1.5+1.24+5.9+28.89+2.53+4+20.5+26.64</f>
        <v>151.32</v>
      </c>
      <c r="N117" s="621"/>
      <c r="O117" s="252">
        <f>5.67+10.2+8.1+4.8+2.56+4+6.35+7.06+3.7+1.5+1.24+5.9+42.03+2.53+4+20.47+580+7.68</f>
        <v>717.79</v>
      </c>
      <c r="P117" s="656"/>
      <c r="Q117" s="343"/>
    </row>
    <row r="118" spans="1:17" s="244" customFormat="1" ht="221.25" customHeight="1">
      <c r="A118" s="221"/>
      <c r="B118" s="607"/>
      <c r="C118" s="651"/>
      <c r="D118" s="651"/>
      <c r="E118" s="657"/>
      <c r="F118" s="651"/>
      <c r="G118" s="651"/>
      <c r="H118" s="651"/>
      <c r="I118" s="651"/>
      <c r="J118" s="651"/>
      <c r="K118" s="652"/>
      <c r="L118" s="12" t="s">
        <v>257</v>
      </c>
      <c r="M118" s="340"/>
      <c r="N118" s="621"/>
      <c r="O118" s="252">
        <f>6+12.84+20.31+49.84+2.46+3.2+3.6+4.9+7.28+6.02+5.7</f>
        <v>122.15</v>
      </c>
      <c r="P118" s="656"/>
      <c r="Q118" s="343"/>
    </row>
    <row r="119" spans="1:17" s="244" customFormat="1" ht="112.5" customHeight="1">
      <c r="A119" s="222"/>
      <c r="B119" s="608"/>
      <c r="C119" s="632"/>
      <c r="D119" s="632"/>
      <c r="E119" s="658"/>
      <c r="F119" s="632"/>
      <c r="G119" s="632"/>
      <c r="H119" s="632"/>
      <c r="I119" s="632"/>
      <c r="J119" s="632"/>
      <c r="K119" s="634"/>
      <c r="L119" s="148" t="s">
        <v>311</v>
      </c>
      <c r="M119" s="273">
        <f>41803.2+1061.3+771.3</f>
        <v>43635.8</v>
      </c>
      <c r="N119" s="635"/>
      <c r="O119" s="252">
        <f>74161.6+1286+10068</f>
        <v>85515.6</v>
      </c>
      <c r="P119" s="342"/>
      <c r="Q119" s="343"/>
    </row>
    <row r="120" spans="1:17" s="244" customFormat="1" ht="56.25">
      <c r="A120" s="215"/>
      <c r="B120" s="257" t="s">
        <v>73</v>
      </c>
      <c r="C120" s="104">
        <f t="shared" ref="C120:J120" si="2">C121+C123+C126</f>
        <v>12677.099999999999</v>
      </c>
      <c r="D120" s="104">
        <f>D121+D123+D126</f>
        <v>111095.6</v>
      </c>
      <c r="E120" s="104">
        <f t="shared" si="2"/>
        <v>11180</v>
      </c>
      <c r="F120" s="104">
        <f t="shared" si="2"/>
        <v>134952.69999999998</v>
      </c>
      <c r="G120" s="104">
        <f t="shared" si="2"/>
        <v>12197.1</v>
      </c>
      <c r="H120" s="104">
        <f>H121+H123+H126</f>
        <v>102836.29999999999</v>
      </c>
      <c r="I120" s="104">
        <f t="shared" si="2"/>
        <v>11180</v>
      </c>
      <c r="J120" s="104">
        <f t="shared" si="2"/>
        <v>126213.39999999998</v>
      </c>
      <c r="K120" s="102">
        <f>J120*100/F120</f>
        <v>93.524175507418519</v>
      </c>
      <c r="L120" s="131"/>
      <c r="M120" s="252"/>
      <c r="N120" s="219"/>
      <c r="O120" s="252"/>
      <c r="P120" s="342"/>
      <c r="Q120" s="343"/>
    </row>
    <row r="121" spans="1:17" s="244" customFormat="1" ht="245.25" customHeight="1">
      <c r="A121" s="256" t="s">
        <v>32</v>
      </c>
      <c r="B121" s="22" t="s">
        <v>45</v>
      </c>
      <c r="C121" s="364">
        <v>8349.7999999999993</v>
      </c>
      <c r="D121" s="364">
        <v>7143.3</v>
      </c>
      <c r="E121" s="364"/>
      <c r="F121" s="363">
        <f>E121+D121+C121</f>
        <v>15493.099999999999</v>
      </c>
      <c r="G121" s="364">
        <v>8232.7000000000007</v>
      </c>
      <c r="H121" s="364">
        <v>5272.7</v>
      </c>
      <c r="I121" s="364"/>
      <c r="J121" s="363">
        <f>I121+H121+G121</f>
        <v>13505.400000000001</v>
      </c>
      <c r="K121" s="377">
        <f>J121*100/F121</f>
        <v>87.170417798891137</v>
      </c>
      <c r="L121" s="373" t="s">
        <v>235</v>
      </c>
      <c r="M121" s="353">
        <f>5355.4+50+25.7+80+429</f>
        <v>5940.0999999999995</v>
      </c>
      <c r="N121" s="637">
        <f>M121+M122</f>
        <v>9880.9</v>
      </c>
      <c r="O121" s="353">
        <f>8011.2+72.5+49+100+649</f>
        <v>8881.7000000000007</v>
      </c>
      <c r="P121" s="643">
        <f>O121+O122</f>
        <v>13505.400000000001</v>
      </c>
      <c r="Q121" s="612">
        <f>J121-P121</f>
        <v>0</v>
      </c>
    </row>
    <row r="122" spans="1:17" s="244" customFormat="1" ht="73.5" customHeight="1">
      <c r="A122" s="272"/>
      <c r="B122" s="260"/>
      <c r="C122" s="367"/>
      <c r="D122" s="367"/>
      <c r="E122" s="367"/>
      <c r="F122" s="366"/>
      <c r="G122" s="367"/>
      <c r="H122" s="367"/>
      <c r="I122" s="367"/>
      <c r="J122" s="366"/>
      <c r="K122" s="350"/>
      <c r="L122" s="294" t="s">
        <v>234</v>
      </c>
      <c r="M122" s="273">
        <v>3940.8</v>
      </c>
      <c r="N122" s="639"/>
      <c r="O122" s="273">
        <v>4623.7</v>
      </c>
      <c r="P122" s="644"/>
      <c r="Q122" s="614"/>
    </row>
    <row r="123" spans="1:17" s="244" customFormat="1" ht="108" customHeight="1">
      <c r="A123" s="216" t="s">
        <v>34</v>
      </c>
      <c r="B123" s="22" t="s">
        <v>7</v>
      </c>
      <c r="C123" s="165"/>
      <c r="D123" s="165">
        <v>99632.3</v>
      </c>
      <c r="E123" s="165">
        <v>11180</v>
      </c>
      <c r="F123" s="166">
        <f>E123+D123+C123</f>
        <v>110812.3</v>
      </c>
      <c r="G123" s="165"/>
      <c r="H123" s="165">
        <f>95190.4-0.1</f>
        <v>95190.299999999988</v>
      </c>
      <c r="I123" s="165">
        <v>11180</v>
      </c>
      <c r="J123" s="166">
        <f>G123+H123+I123</f>
        <v>106370.29999999999</v>
      </c>
      <c r="K123" s="374">
        <f>J123*100/F123</f>
        <v>95.991419725066606</v>
      </c>
      <c r="L123" s="26" t="s">
        <v>237</v>
      </c>
      <c r="M123" s="276">
        <f>11180+33559.8</f>
        <v>44739.8</v>
      </c>
      <c r="N123" s="637">
        <f>M123+M124+M125</f>
        <v>85771.5</v>
      </c>
      <c r="O123" s="353">
        <f>11180+36585.3</f>
        <v>47765.3</v>
      </c>
      <c r="P123" s="643">
        <f>O123+O124+O125</f>
        <v>106370.3</v>
      </c>
      <c r="Q123" s="612">
        <f>J123-P123</f>
        <v>0</v>
      </c>
    </row>
    <row r="124" spans="1:17" s="244" customFormat="1" ht="114" customHeight="1">
      <c r="A124" s="217"/>
      <c r="B124" s="24"/>
      <c r="C124" s="175"/>
      <c r="D124" s="175"/>
      <c r="E124" s="175"/>
      <c r="F124" s="176"/>
      <c r="G124" s="175"/>
      <c r="H124" s="175"/>
      <c r="I124" s="175"/>
      <c r="J124" s="175"/>
      <c r="K124" s="306"/>
      <c r="L124" s="71" t="s">
        <v>236</v>
      </c>
      <c r="M124" s="302">
        <f>5784.4+138.3+36.7+54.6+71.7+101.2</f>
        <v>6186.9</v>
      </c>
      <c r="N124" s="638"/>
      <c r="O124" s="340">
        <f>8193.7+205.3+50.2+61.1+103.7+1625.1+171.5+66.4</f>
        <v>10477.000000000002</v>
      </c>
      <c r="P124" s="645"/>
      <c r="Q124" s="646"/>
    </row>
    <row r="125" spans="1:17" s="244" customFormat="1" ht="108.75" customHeight="1">
      <c r="A125" s="217"/>
      <c r="B125" s="260"/>
      <c r="C125" s="177"/>
      <c r="D125" s="177"/>
      <c r="E125" s="177"/>
      <c r="F125" s="375"/>
      <c r="G125" s="177"/>
      <c r="H125" s="177"/>
      <c r="I125" s="177"/>
      <c r="J125" s="375"/>
      <c r="K125" s="376"/>
      <c r="L125" s="28" t="s">
        <v>298</v>
      </c>
      <c r="M125" s="277">
        <f>22046.5+12798.3</f>
        <v>34844.800000000003</v>
      </c>
      <c r="N125" s="639"/>
      <c r="O125" s="273">
        <f>29396.3+18731.7</f>
        <v>48128</v>
      </c>
      <c r="P125" s="644"/>
      <c r="Q125" s="647"/>
    </row>
    <row r="126" spans="1:17" s="244" customFormat="1" ht="105.75" customHeight="1">
      <c r="A126" s="216" t="s">
        <v>35</v>
      </c>
      <c r="B126" s="299" t="s">
        <v>8</v>
      </c>
      <c r="C126" s="364">
        <v>4327.3</v>
      </c>
      <c r="D126" s="364">
        <v>4320</v>
      </c>
      <c r="E126" s="364"/>
      <c r="F126" s="363">
        <f>E126+D126+C126</f>
        <v>8647.2999999999993</v>
      </c>
      <c r="G126" s="383">
        <f>3964.4</f>
        <v>3964.4</v>
      </c>
      <c r="H126" s="383">
        <f>2373.2+0.1</f>
        <v>2373.2999999999997</v>
      </c>
      <c r="I126" s="364"/>
      <c r="J126" s="363">
        <f>I126+H126+G126</f>
        <v>6337.7</v>
      </c>
      <c r="K126" s="377">
        <f>J126*100/F126</f>
        <v>73.291085078579442</v>
      </c>
      <c r="L126" s="71" t="s">
        <v>317</v>
      </c>
      <c r="M126" s="353">
        <f>2052.2+136+21.6+195.9</f>
        <v>2405.6999999999998</v>
      </c>
      <c r="N126" s="290">
        <f>M126+M128</f>
        <v>2945.3999999999996</v>
      </c>
      <c r="O126" s="353">
        <f>2948.6+146.3+32.4+196</f>
        <v>3323.3</v>
      </c>
      <c r="P126" s="643">
        <f>O126+O127+O128+O129+O130</f>
        <v>6337.7</v>
      </c>
      <c r="Q126" s="612">
        <f>J126-P126</f>
        <v>0</v>
      </c>
    </row>
    <row r="127" spans="1:17" s="244" customFormat="1" ht="45.75" customHeight="1">
      <c r="A127" s="217"/>
      <c r="B127" s="214"/>
      <c r="C127" s="172"/>
      <c r="D127" s="172"/>
      <c r="E127" s="172"/>
      <c r="F127" s="171"/>
      <c r="G127" s="172"/>
      <c r="H127" s="172"/>
      <c r="I127" s="172"/>
      <c r="J127" s="171"/>
      <c r="K127" s="349"/>
      <c r="L127" s="71" t="s">
        <v>238</v>
      </c>
      <c r="M127" s="340"/>
      <c r="N127" s="278"/>
      <c r="O127" s="340">
        <v>53</v>
      </c>
      <c r="P127" s="645"/>
      <c r="Q127" s="646"/>
    </row>
    <row r="128" spans="1:17" s="244" customFormat="1" ht="85.5" customHeight="1">
      <c r="A128" s="217"/>
      <c r="B128" s="214"/>
      <c r="C128" s="172"/>
      <c r="D128" s="172"/>
      <c r="E128" s="172"/>
      <c r="F128" s="171"/>
      <c r="G128" s="172"/>
      <c r="H128" s="172"/>
      <c r="I128" s="172"/>
      <c r="J128" s="171"/>
      <c r="K128" s="349"/>
      <c r="L128" s="369" t="s">
        <v>239</v>
      </c>
      <c r="M128" s="273">
        <f>146.6+136.5+33.5+223.1</f>
        <v>539.70000000000005</v>
      </c>
      <c r="N128" s="279"/>
      <c r="O128" s="340">
        <f>146.6+136.5+33.5+223.1</f>
        <v>539.70000000000005</v>
      </c>
      <c r="P128" s="645"/>
      <c r="Q128" s="646"/>
    </row>
    <row r="129" spans="1:22" s="244" customFormat="1" ht="47.25" customHeight="1">
      <c r="A129" s="217"/>
      <c r="B129" s="214"/>
      <c r="C129" s="172"/>
      <c r="D129" s="172"/>
      <c r="E129" s="172"/>
      <c r="F129" s="171"/>
      <c r="G129" s="172"/>
      <c r="H129" s="172"/>
      <c r="I129" s="172"/>
      <c r="J129" s="171"/>
      <c r="K129" s="349"/>
      <c r="L129" s="369" t="s">
        <v>240</v>
      </c>
      <c r="M129" s="340"/>
      <c r="N129" s="278"/>
      <c r="O129" s="340">
        <v>2373.1999999999998</v>
      </c>
      <c r="P129" s="645"/>
      <c r="Q129" s="646"/>
    </row>
    <row r="130" spans="1:22" s="244" customFormat="1" ht="52.5" customHeight="1">
      <c r="A130" s="217"/>
      <c r="B130" s="214"/>
      <c r="C130" s="172"/>
      <c r="D130" s="172"/>
      <c r="E130" s="172"/>
      <c r="F130" s="171"/>
      <c r="G130" s="172"/>
      <c r="H130" s="172"/>
      <c r="I130" s="172"/>
      <c r="J130" s="171"/>
      <c r="K130" s="349"/>
      <c r="L130" s="369" t="s">
        <v>299</v>
      </c>
      <c r="M130" s="340"/>
      <c r="N130" s="278"/>
      <c r="O130" s="273">
        <v>48.5</v>
      </c>
      <c r="P130" s="644"/>
      <c r="Q130" s="647"/>
    </row>
    <row r="131" spans="1:22" s="244" customFormat="1" ht="294" customHeight="1">
      <c r="A131" s="261" t="s">
        <v>37</v>
      </c>
      <c r="B131" s="338" t="s">
        <v>81</v>
      </c>
      <c r="C131" s="385">
        <f>26166.4+0.1</f>
        <v>26166.5</v>
      </c>
      <c r="D131" s="363">
        <v>2320.6999999999998</v>
      </c>
      <c r="E131" s="363"/>
      <c r="F131" s="363">
        <f>E131+D131+C131</f>
        <v>28487.200000000001</v>
      </c>
      <c r="G131" s="385">
        <f>25620.6+0.1</f>
        <v>25620.699999999997</v>
      </c>
      <c r="H131" s="363">
        <v>1597.4</v>
      </c>
      <c r="I131" s="363"/>
      <c r="J131" s="363">
        <f>I131+H131+G131</f>
        <v>27218.1</v>
      </c>
      <c r="K131" s="377">
        <f>J131*100/F131</f>
        <v>95.545016709258888</v>
      </c>
      <c r="L131" s="97" t="s">
        <v>232</v>
      </c>
      <c r="M131" s="287">
        <f>9556.7+2688.8+172.6+1474.5+454.5+500.3+138.4+204.4+9+349.8+147.85+22.53</f>
        <v>15719.38</v>
      </c>
      <c r="N131" s="648">
        <f>M131+M132+M133+M136</f>
        <v>16259.9</v>
      </c>
      <c r="O131" s="353">
        <f>12780.61+3958.34+234.22+467.32+648.72+951.4+279.52+343.37+22.61+460.92+186.03+40.82+1852.62+560.45</f>
        <v>22786.95</v>
      </c>
      <c r="P131" s="643">
        <f>O131+O132+O133+O134+O135+O136</f>
        <v>27218</v>
      </c>
      <c r="Q131" s="612">
        <f>J131-P131</f>
        <v>9.9999999998544808E-2</v>
      </c>
      <c r="R131" s="617"/>
    </row>
    <row r="132" spans="1:22" s="244" customFormat="1" ht="61.5" customHeight="1">
      <c r="A132" s="262"/>
      <c r="B132" s="339"/>
      <c r="C132" s="171"/>
      <c r="D132" s="171"/>
      <c r="E132" s="171"/>
      <c r="F132" s="171"/>
      <c r="G132" s="171"/>
      <c r="H132" s="171"/>
      <c r="I132" s="171"/>
      <c r="J132" s="171"/>
      <c r="K132" s="349"/>
      <c r="L132" s="227" t="s">
        <v>228</v>
      </c>
      <c r="M132" s="274">
        <v>113.5</v>
      </c>
      <c r="N132" s="649"/>
      <c r="O132" s="340">
        <v>141.5</v>
      </c>
      <c r="P132" s="645"/>
      <c r="Q132" s="646"/>
      <c r="R132" s="618"/>
    </row>
    <row r="133" spans="1:22" s="244" customFormat="1" ht="65.25" customHeight="1">
      <c r="A133" s="263"/>
      <c r="B133" s="339"/>
      <c r="C133" s="171"/>
      <c r="D133" s="171"/>
      <c r="E133" s="171"/>
      <c r="F133" s="171"/>
      <c r="G133" s="171"/>
      <c r="H133" s="171"/>
      <c r="I133" s="171"/>
      <c r="J133" s="171"/>
      <c r="K133" s="349"/>
      <c r="L133" s="227" t="s">
        <v>229</v>
      </c>
      <c r="M133" s="274">
        <f>271+50</f>
        <v>321</v>
      </c>
      <c r="N133" s="649"/>
      <c r="O133" s="340">
        <f>545+50</f>
        <v>595</v>
      </c>
      <c r="P133" s="645"/>
      <c r="Q133" s="646"/>
      <c r="R133" s="618"/>
    </row>
    <row r="134" spans="1:22" s="244" customFormat="1" ht="52.5" customHeight="1">
      <c r="A134" s="263"/>
      <c r="B134" s="339"/>
      <c r="C134" s="171"/>
      <c r="D134" s="171"/>
      <c r="E134" s="171"/>
      <c r="F134" s="171"/>
      <c r="G134" s="171"/>
      <c r="H134" s="171"/>
      <c r="I134" s="171"/>
      <c r="J134" s="171"/>
      <c r="K134" s="349"/>
      <c r="L134" s="339" t="s">
        <v>230</v>
      </c>
      <c r="M134" s="274"/>
      <c r="N134" s="649"/>
      <c r="O134" s="340">
        <v>1761.89</v>
      </c>
      <c r="P134" s="645"/>
      <c r="Q134" s="646"/>
      <c r="R134" s="618"/>
    </row>
    <row r="135" spans="1:22" s="244" customFormat="1" ht="194.25" customHeight="1">
      <c r="A135" s="263"/>
      <c r="B135" s="339"/>
      <c r="C135" s="171"/>
      <c r="D135" s="171"/>
      <c r="E135" s="171"/>
      <c r="F135" s="171"/>
      <c r="G135" s="171"/>
      <c r="H135" s="171"/>
      <c r="I135" s="171"/>
      <c r="J135" s="171"/>
      <c r="K135" s="349"/>
      <c r="L135" s="339" t="s">
        <v>233</v>
      </c>
      <c r="M135" s="274"/>
      <c r="N135" s="649"/>
      <c r="O135" s="340">
        <f>700+14.76+300+150+150+330</f>
        <v>1644.76</v>
      </c>
      <c r="P135" s="645"/>
      <c r="Q135" s="646"/>
      <c r="R135" s="618"/>
    </row>
    <row r="136" spans="1:22" s="244" customFormat="1" ht="90.75" customHeight="1">
      <c r="A136" s="263"/>
      <c r="B136" s="339"/>
      <c r="C136" s="171"/>
      <c r="D136" s="171"/>
      <c r="E136" s="171"/>
      <c r="F136" s="171"/>
      <c r="G136" s="171"/>
      <c r="H136" s="171"/>
      <c r="I136" s="171"/>
      <c r="J136" s="171"/>
      <c r="K136" s="349"/>
      <c r="L136" s="339" t="s">
        <v>231</v>
      </c>
      <c r="M136" s="288">
        <f>94.12+11.9</f>
        <v>106.02000000000001</v>
      </c>
      <c r="N136" s="650"/>
      <c r="O136" s="273">
        <f>264.1+23.8</f>
        <v>287.90000000000003</v>
      </c>
      <c r="P136" s="644"/>
      <c r="Q136" s="647"/>
      <c r="R136" s="618"/>
    </row>
    <row r="137" spans="1:22" s="244" customFormat="1" ht="165.75" customHeight="1">
      <c r="A137" s="215" t="s">
        <v>39</v>
      </c>
      <c r="B137" s="161" t="s">
        <v>74</v>
      </c>
      <c r="C137" s="104">
        <v>21</v>
      </c>
      <c r="D137" s="104"/>
      <c r="E137" s="104"/>
      <c r="F137" s="104">
        <f>E137+D137+C137</f>
        <v>21</v>
      </c>
      <c r="G137" s="104">
        <v>20.7</v>
      </c>
      <c r="H137" s="104"/>
      <c r="I137" s="104"/>
      <c r="J137" s="104">
        <f>G137+H137+I137</f>
        <v>20.7</v>
      </c>
      <c r="K137" s="102">
        <f>J137/F137*100</f>
        <v>98.571428571428569</v>
      </c>
      <c r="L137" s="131" t="s">
        <v>223</v>
      </c>
      <c r="M137" s="301">
        <f>4+3+3</f>
        <v>10</v>
      </c>
      <c r="N137" s="219"/>
      <c r="O137" s="273">
        <f>4+2+1.7+7+3+3</f>
        <v>20.7</v>
      </c>
      <c r="P137" s="344">
        <f>J137-O137</f>
        <v>0</v>
      </c>
      <c r="Q137" s="343"/>
    </row>
    <row r="138" spans="1:22" s="244" customFormat="1" ht="110.25" customHeight="1">
      <c r="A138" s="228" t="s">
        <v>40</v>
      </c>
      <c r="B138" s="162" t="s">
        <v>75</v>
      </c>
      <c r="C138" s="104">
        <f t="shared" ref="C138:J138" si="3">C139+C140+C141+C142</f>
        <v>132.9</v>
      </c>
      <c r="D138" s="104">
        <f t="shared" si="3"/>
        <v>0</v>
      </c>
      <c r="E138" s="104">
        <f t="shared" si="3"/>
        <v>0</v>
      </c>
      <c r="F138" s="104">
        <f t="shared" si="3"/>
        <v>132.9</v>
      </c>
      <c r="G138" s="104">
        <f t="shared" si="3"/>
        <v>123.89999999999999</v>
      </c>
      <c r="H138" s="104">
        <f t="shared" si="3"/>
        <v>0</v>
      </c>
      <c r="I138" s="104">
        <f t="shared" si="3"/>
        <v>0</v>
      </c>
      <c r="J138" s="104">
        <f t="shared" si="3"/>
        <v>123.89999999999999</v>
      </c>
      <c r="K138" s="102">
        <f>J138*100/F138</f>
        <v>93.227990970654631</v>
      </c>
      <c r="L138" s="131"/>
      <c r="M138" s="252"/>
      <c r="N138" s="219"/>
      <c r="O138" s="252"/>
      <c r="P138" s="342"/>
      <c r="Q138" s="343"/>
    </row>
    <row r="139" spans="1:22" s="244" customFormat="1" ht="79.5" customHeight="1">
      <c r="A139" s="229" t="s">
        <v>66</v>
      </c>
      <c r="B139" s="300" t="s">
        <v>9</v>
      </c>
      <c r="C139" s="103">
        <v>13</v>
      </c>
      <c r="D139" s="103"/>
      <c r="E139" s="103"/>
      <c r="F139" s="104">
        <f>E139+D139+C139</f>
        <v>13</v>
      </c>
      <c r="G139" s="103">
        <v>11.8</v>
      </c>
      <c r="H139" s="103"/>
      <c r="I139" s="103"/>
      <c r="J139" s="104">
        <f>I139+H139+G139</f>
        <v>11.8</v>
      </c>
      <c r="K139" s="102">
        <f>J139*100/F139</f>
        <v>90.769230769230774</v>
      </c>
      <c r="L139" s="132" t="s">
        <v>225</v>
      </c>
      <c r="M139" s="353">
        <v>1.8</v>
      </c>
      <c r="N139" s="290">
        <f>M139+M140+M141+M142</f>
        <v>74.100000000000009</v>
      </c>
      <c r="O139" s="252">
        <f>10+1.8</f>
        <v>11.8</v>
      </c>
      <c r="P139" s="342">
        <f>J139-O139</f>
        <v>0</v>
      </c>
      <c r="Q139" s="343"/>
    </row>
    <row r="140" spans="1:22" s="244" customFormat="1" ht="61.5" customHeight="1">
      <c r="A140" s="230" t="s">
        <v>67</v>
      </c>
      <c r="B140" s="300" t="s">
        <v>48</v>
      </c>
      <c r="C140" s="103">
        <v>54</v>
      </c>
      <c r="D140" s="103"/>
      <c r="E140" s="103"/>
      <c r="F140" s="104">
        <f>E140+D140+C140</f>
        <v>54</v>
      </c>
      <c r="G140" s="103">
        <v>49.2</v>
      </c>
      <c r="H140" s="103"/>
      <c r="I140" s="103"/>
      <c r="J140" s="104">
        <f>I140+H140+G140</f>
        <v>49.2</v>
      </c>
      <c r="K140" s="102">
        <f>J140*100/F140</f>
        <v>91.111111111111114</v>
      </c>
      <c r="L140" s="131" t="s">
        <v>219</v>
      </c>
      <c r="M140" s="340">
        <v>49.2</v>
      </c>
      <c r="N140" s="278"/>
      <c r="O140" s="252">
        <v>49.2</v>
      </c>
      <c r="P140" s="342">
        <f>J140-O140</f>
        <v>0</v>
      </c>
      <c r="Q140" s="343"/>
    </row>
    <row r="141" spans="1:22" s="244" customFormat="1" ht="96" customHeight="1">
      <c r="A141" s="224" t="s">
        <v>68</v>
      </c>
      <c r="B141" s="226" t="s">
        <v>10</v>
      </c>
      <c r="C141" s="103">
        <v>63.3</v>
      </c>
      <c r="D141" s="103"/>
      <c r="E141" s="103"/>
      <c r="F141" s="104">
        <f>E141+D141+C141</f>
        <v>63.3</v>
      </c>
      <c r="G141" s="103">
        <v>60.3</v>
      </c>
      <c r="H141" s="103"/>
      <c r="I141" s="103"/>
      <c r="J141" s="104">
        <f>I141+H141+G141</f>
        <v>60.3</v>
      </c>
      <c r="K141" s="102">
        <f>J141*100/F141</f>
        <v>95.260663507109015</v>
      </c>
      <c r="L141" s="131" t="s">
        <v>227</v>
      </c>
      <c r="M141" s="273">
        <v>20.399999999999999</v>
      </c>
      <c r="N141" s="279"/>
      <c r="O141" s="252">
        <f>10.3+20+30</f>
        <v>60.3</v>
      </c>
      <c r="P141" s="342">
        <f>J141-O141</f>
        <v>0</v>
      </c>
      <c r="Q141" s="343"/>
    </row>
    <row r="142" spans="1:22" s="244" customFormat="1" ht="59.25" customHeight="1">
      <c r="A142" s="224" t="s">
        <v>69</v>
      </c>
      <c r="B142" s="226" t="s">
        <v>11</v>
      </c>
      <c r="C142" s="103">
        <v>2.6</v>
      </c>
      <c r="D142" s="103"/>
      <c r="E142" s="103"/>
      <c r="F142" s="104">
        <f>E142+D142+C142</f>
        <v>2.6</v>
      </c>
      <c r="G142" s="103">
        <v>2.6</v>
      </c>
      <c r="H142" s="103"/>
      <c r="I142" s="103"/>
      <c r="J142" s="104">
        <f>I142+H142+G142</f>
        <v>2.6</v>
      </c>
      <c r="K142" s="102">
        <f>J142*100/F142</f>
        <v>100</v>
      </c>
      <c r="L142" s="131" t="s">
        <v>226</v>
      </c>
      <c r="M142" s="252">
        <v>2.7</v>
      </c>
      <c r="N142" s="219"/>
      <c r="O142" s="252">
        <v>2.6</v>
      </c>
      <c r="P142" s="342">
        <f>J142-O142</f>
        <v>0</v>
      </c>
      <c r="Q142" s="343"/>
    </row>
    <row r="143" spans="1:22" s="244" customFormat="1" ht="276" customHeight="1">
      <c r="A143" s="351" t="s">
        <v>41</v>
      </c>
      <c r="B143" s="298" t="s">
        <v>76</v>
      </c>
      <c r="C143" s="363">
        <v>4265.1000000000004</v>
      </c>
      <c r="D143" s="363">
        <v>802.6</v>
      </c>
      <c r="E143" s="363"/>
      <c r="F143" s="363">
        <f>E143+D143+C143</f>
        <v>5067.7000000000007</v>
      </c>
      <c r="G143" s="363">
        <v>3954.1</v>
      </c>
      <c r="H143" s="363">
        <v>802.6</v>
      </c>
      <c r="I143" s="363"/>
      <c r="J143" s="363">
        <f>G143+I143+H143</f>
        <v>4756.7</v>
      </c>
      <c r="K143" s="377">
        <f>J143/F143*100</f>
        <v>93.863093711151009</v>
      </c>
      <c r="L143" s="8" t="s">
        <v>312</v>
      </c>
      <c r="M143" s="353">
        <f>912.45+239.06+39.1+125.99+21.63+22.81+0.05+1.61</f>
        <v>1362.6999999999998</v>
      </c>
      <c r="N143" s="290">
        <f>M143+M145+M144</f>
        <v>2579.5</v>
      </c>
      <c r="O143" s="334">
        <f>1236.77+354.88+82.62+0.8+53.1+41.24+530.41+7.39+69.82+0.07+132.9</f>
        <v>2510</v>
      </c>
      <c r="P143" s="612">
        <f>O143+O144+O145</f>
        <v>4756.7000000000007</v>
      </c>
      <c r="Q143" s="343"/>
      <c r="R143" s="332"/>
      <c r="S143" s="332"/>
      <c r="T143" s="332"/>
      <c r="U143" s="332"/>
      <c r="V143" s="332"/>
    </row>
    <row r="144" spans="1:22" s="244" customFormat="1" ht="175.5" customHeight="1">
      <c r="A144" s="77"/>
      <c r="B144" s="292"/>
      <c r="C144" s="171"/>
      <c r="D144" s="171"/>
      <c r="E144" s="171"/>
      <c r="F144" s="171"/>
      <c r="G144" s="171"/>
      <c r="H144" s="171"/>
      <c r="I144" s="171"/>
      <c r="J144" s="171"/>
      <c r="K144" s="349"/>
      <c r="L144" s="12" t="s">
        <v>313</v>
      </c>
      <c r="M144" s="340">
        <f>776.2+15.8+363</f>
        <v>1155</v>
      </c>
      <c r="N144" s="278"/>
      <c r="O144" s="340">
        <f>802.6+16.4+362.9+500+499.8</f>
        <v>2181.7000000000003</v>
      </c>
      <c r="P144" s="613"/>
      <c r="Q144" s="354">
        <f>J143-P143</f>
        <v>0</v>
      </c>
    </row>
    <row r="145" spans="1:17" s="244" customFormat="1" ht="165.75" customHeight="1">
      <c r="A145" s="352"/>
      <c r="B145" s="223"/>
      <c r="C145" s="223"/>
      <c r="D145" s="223"/>
      <c r="E145" s="366"/>
      <c r="F145" s="366"/>
      <c r="G145" s="366"/>
      <c r="H145" s="366"/>
      <c r="I145" s="366"/>
      <c r="J145" s="366"/>
      <c r="K145" s="350"/>
      <c r="L145" s="148" t="s">
        <v>252</v>
      </c>
      <c r="M145" s="273">
        <f>2.8+29.7+29.3</f>
        <v>61.8</v>
      </c>
      <c r="N145" s="279"/>
      <c r="O145" s="333">
        <f>29.7+29.38+2.78+3.14</f>
        <v>65</v>
      </c>
      <c r="P145" s="614"/>
      <c r="Q145" s="343"/>
    </row>
    <row r="146" spans="1:17" s="244" customFormat="1" ht="162.75" hidden="1" customHeight="1">
      <c r="A146" s="352"/>
      <c r="B146" s="223"/>
      <c r="C146" s="366"/>
      <c r="D146" s="366"/>
      <c r="E146" s="171"/>
      <c r="F146" s="366"/>
      <c r="G146" s="366"/>
      <c r="H146" s="366"/>
      <c r="I146" s="366"/>
      <c r="J146" s="366"/>
      <c r="K146" s="350"/>
      <c r="L146" s="148" t="s">
        <v>213</v>
      </c>
      <c r="M146" s="252"/>
      <c r="N146" s="219"/>
      <c r="O146" s="252"/>
      <c r="P146" s="342"/>
      <c r="Q146" s="343"/>
    </row>
    <row r="147" spans="1:17" s="244" customFormat="1" ht="76.5" customHeight="1">
      <c r="A147" s="228" t="s">
        <v>42</v>
      </c>
      <c r="B147" s="162" t="s">
        <v>77</v>
      </c>
      <c r="C147" s="363">
        <f>C148+C160</f>
        <v>40375</v>
      </c>
      <c r="D147" s="363">
        <f>D148+D160</f>
        <v>19835.5</v>
      </c>
      <c r="E147" s="363">
        <f t="shared" ref="E147:J147" si="4">E148+E160</f>
        <v>0</v>
      </c>
      <c r="F147" s="363">
        <f t="shared" si="4"/>
        <v>60210.5</v>
      </c>
      <c r="G147" s="104">
        <f t="shared" si="4"/>
        <v>22128.9</v>
      </c>
      <c r="H147" s="104">
        <f t="shared" si="4"/>
        <v>19081.3</v>
      </c>
      <c r="I147" s="104">
        <f t="shared" si="4"/>
        <v>0</v>
      </c>
      <c r="J147" s="104">
        <f t="shared" si="4"/>
        <v>41210.200000000004</v>
      </c>
      <c r="K147" s="102">
        <f>J147*100/F147</f>
        <v>68.443543900150317</v>
      </c>
      <c r="L147" s="131"/>
      <c r="M147" s="275"/>
      <c r="N147" s="219"/>
      <c r="O147" s="252"/>
      <c r="P147" s="342"/>
      <c r="Q147" s="343"/>
    </row>
    <row r="148" spans="1:17" s="244" customFormat="1" ht="336.75" customHeight="1">
      <c r="A148" s="231" t="s">
        <v>43</v>
      </c>
      <c r="B148" s="22" t="s">
        <v>12</v>
      </c>
      <c r="C148" s="364">
        <v>39442.6</v>
      </c>
      <c r="D148" s="364">
        <v>19835.5</v>
      </c>
      <c r="E148" s="364"/>
      <c r="F148" s="363">
        <f>E148+D148+C148</f>
        <v>59278.1</v>
      </c>
      <c r="G148" s="364">
        <f>21196.5</f>
        <v>21196.5</v>
      </c>
      <c r="H148" s="364">
        <f>19081.3</f>
        <v>19081.3</v>
      </c>
      <c r="I148" s="364"/>
      <c r="J148" s="363">
        <f>I148+H148+G148</f>
        <v>40277.800000000003</v>
      </c>
      <c r="K148" s="377">
        <f>J148*100/F148</f>
        <v>67.947184542014682</v>
      </c>
      <c r="L148" s="123" t="s">
        <v>343</v>
      </c>
      <c r="M148" s="353">
        <f>48.83+276.74+58.04+65.92+50.83+116.02</f>
        <v>616.38</v>
      </c>
      <c r="N148" s="637">
        <f>M148+M149+M150+M151+M152+M153+M160</f>
        <v>27789.9</v>
      </c>
      <c r="O148" s="353">
        <f>48.83+276.74+58.04+65.92+50.83+116.02</f>
        <v>616.38</v>
      </c>
      <c r="P148" s="640">
        <f>O148+O149+O150+O151+O152+O153+O154</f>
        <v>40277.800000000003</v>
      </c>
      <c r="Q148" s="342">
        <f>J148-P148</f>
        <v>0</v>
      </c>
    </row>
    <row r="149" spans="1:17" s="244" customFormat="1" ht="27" customHeight="1">
      <c r="A149" s="232"/>
      <c r="B149" s="214"/>
      <c r="C149" s="172"/>
      <c r="D149" s="172"/>
      <c r="E149" s="172"/>
      <c r="F149" s="171"/>
      <c r="G149" s="172"/>
      <c r="H149" s="172"/>
      <c r="I149" s="172"/>
      <c r="J149" s="171"/>
      <c r="K149" s="349"/>
      <c r="L149" s="368" t="s">
        <v>218</v>
      </c>
      <c r="M149" s="340">
        <v>23.4</v>
      </c>
      <c r="N149" s="638"/>
      <c r="O149" s="340">
        <v>23.4</v>
      </c>
      <c r="P149" s="641"/>
      <c r="Q149" s="342"/>
    </row>
    <row r="150" spans="1:17" s="244" customFormat="1" ht="266.25" customHeight="1">
      <c r="A150" s="232"/>
      <c r="B150" s="214"/>
      <c r="C150" s="172"/>
      <c r="D150" s="172"/>
      <c r="E150" s="172"/>
      <c r="F150" s="171"/>
      <c r="G150" s="172"/>
      <c r="H150" s="172"/>
      <c r="I150" s="172"/>
      <c r="J150" s="171"/>
      <c r="K150" s="349"/>
      <c r="L150" s="368" t="s">
        <v>248</v>
      </c>
      <c r="M150" s="340">
        <f>1807.97+1796.26+1253.8+0.48+2735.78</f>
        <v>7594.2899999999991</v>
      </c>
      <c r="N150" s="638"/>
      <c r="O150" s="340">
        <f>2000+1796.26+1253.8+0.48+2735.78+1042.85</f>
        <v>8829.17</v>
      </c>
      <c r="P150" s="641"/>
      <c r="Q150" s="343"/>
    </row>
    <row r="151" spans="1:17" s="244" customFormat="1" ht="127.5" customHeight="1">
      <c r="A151" s="232"/>
      <c r="B151" s="214"/>
      <c r="C151" s="172"/>
      <c r="D151" s="172"/>
      <c r="E151" s="172"/>
      <c r="F151" s="171"/>
      <c r="G151" s="172"/>
      <c r="H151" s="172"/>
      <c r="I151" s="172"/>
      <c r="J151" s="171"/>
      <c r="K151" s="349"/>
      <c r="L151" s="368" t="s">
        <v>251</v>
      </c>
      <c r="M151" s="340">
        <v>606.23</v>
      </c>
      <c r="N151" s="638"/>
      <c r="O151" s="340">
        <f>606.2+195.36+439.69+842.82</f>
        <v>2084.0700000000002</v>
      </c>
      <c r="P151" s="641"/>
      <c r="Q151" s="343"/>
    </row>
    <row r="152" spans="1:17" s="244" customFormat="1" ht="272.25" customHeight="1">
      <c r="A152" s="232"/>
      <c r="B152" s="214"/>
      <c r="C152" s="172"/>
      <c r="D152" s="172"/>
      <c r="E152" s="172"/>
      <c r="F152" s="171"/>
      <c r="G152" s="172"/>
      <c r="H152" s="172"/>
      <c r="I152" s="172"/>
      <c r="J152" s="171"/>
      <c r="K152" s="349"/>
      <c r="L152" s="368" t="s">
        <v>249</v>
      </c>
      <c r="M152" s="274">
        <f>4843.8+7957.8+2775.1+293.8+2100.7</f>
        <v>17971.2</v>
      </c>
      <c r="N152" s="638"/>
      <c r="O152" s="340">
        <f>4843.8+7957.8+2775.1+293.8+2100.7+1110.1</f>
        <v>19081.3</v>
      </c>
      <c r="P152" s="641"/>
      <c r="Q152" s="343"/>
    </row>
    <row r="153" spans="1:17" s="244" customFormat="1" ht="239.25" customHeight="1">
      <c r="A153" s="232"/>
      <c r="B153" s="214"/>
      <c r="C153" s="172"/>
      <c r="D153" s="172"/>
      <c r="E153" s="172"/>
      <c r="F153" s="172"/>
      <c r="G153" s="172"/>
      <c r="H153" s="172"/>
      <c r="I153" s="172"/>
      <c r="J153" s="172"/>
      <c r="K153" s="307"/>
      <c r="L153" s="368" t="s">
        <v>247</v>
      </c>
      <c r="M153" s="340">
        <f>99+162.4+56.6+6+42.9</f>
        <v>366.9</v>
      </c>
      <c r="N153" s="638"/>
      <c r="O153" s="340">
        <f>99+162.4+56.6+6+42.9+22.6</f>
        <v>389.5</v>
      </c>
      <c r="P153" s="641"/>
      <c r="Q153" s="343"/>
    </row>
    <row r="154" spans="1:17" s="244" customFormat="1" ht="161.25" customHeight="1">
      <c r="A154" s="232"/>
      <c r="B154" s="214"/>
      <c r="C154" s="172"/>
      <c r="D154" s="172"/>
      <c r="E154" s="172"/>
      <c r="F154" s="171"/>
      <c r="G154" s="172"/>
      <c r="H154" s="172"/>
      <c r="I154" s="172"/>
      <c r="J154" s="171"/>
      <c r="K154" s="349"/>
      <c r="L154" s="124" t="s">
        <v>250</v>
      </c>
      <c r="M154" s="340"/>
      <c r="N154" s="638"/>
      <c r="O154" s="273">
        <f>7500+599+517.27+459.09+178.62</f>
        <v>9253.9800000000014</v>
      </c>
      <c r="P154" s="642"/>
      <c r="Q154" s="343"/>
    </row>
    <row r="155" spans="1:17" s="244" customFormat="1" hidden="1">
      <c r="A155" s="232"/>
      <c r="B155" s="214"/>
      <c r="C155" s="172"/>
      <c r="D155" s="172"/>
      <c r="E155" s="172"/>
      <c r="F155" s="171"/>
      <c r="G155" s="172"/>
      <c r="H155" s="172"/>
      <c r="I155" s="172"/>
      <c r="J155" s="171"/>
      <c r="K155" s="349"/>
      <c r="L155" s="368"/>
      <c r="M155" s="340"/>
      <c r="N155" s="638"/>
      <c r="O155" s="252"/>
      <c r="P155" s="342"/>
      <c r="Q155" s="343"/>
    </row>
    <row r="156" spans="1:17" s="244" customFormat="1" hidden="1">
      <c r="A156" s="232"/>
      <c r="B156" s="214"/>
      <c r="C156" s="172"/>
      <c r="D156" s="172"/>
      <c r="E156" s="172"/>
      <c r="F156" s="171"/>
      <c r="G156" s="172"/>
      <c r="H156" s="172"/>
      <c r="I156" s="172"/>
      <c r="J156" s="171"/>
      <c r="K156" s="349"/>
      <c r="L156" s="124"/>
      <c r="M156" s="340"/>
      <c r="N156" s="638"/>
      <c r="O156" s="252"/>
      <c r="P156" s="342"/>
      <c r="Q156" s="343"/>
    </row>
    <row r="157" spans="1:17" s="244" customFormat="1" hidden="1">
      <c r="A157" s="232"/>
      <c r="B157" s="214"/>
      <c r="C157" s="172"/>
      <c r="D157" s="172"/>
      <c r="E157" s="172"/>
      <c r="F157" s="171"/>
      <c r="G157" s="172"/>
      <c r="H157" s="172"/>
      <c r="I157" s="172"/>
      <c r="J157" s="171"/>
      <c r="K157" s="349"/>
      <c r="L157" s="124"/>
      <c r="M157" s="340"/>
      <c r="N157" s="638"/>
      <c r="O157" s="252"/>
      <c r="P157" s="342"/>
      <c r="Q157" s="343"/>
    </row>
    <row r="158" spans="1:17" s="244" customFormat="1" hidden="1">
      <c r="A158" s="232"/>
      <c r="B158" s="214"/>
      <c r="C158" s="172"/>
      <c r="D158" s="172"/>
      <c r="E158" s="172"/>
      <c r="F158" s="171"/>
      <c r="G158" s="172"/>
      <c r="H158" s="172"/>
      <c r="I158" s="172"/>
      <c r="J158" s="171"/>
      <c r="K158" s="349"/>
      <c r="L158" s="124"/>
      <c r="M158" s="340"/>
      <c r="N158" s="638"/>
      <c r="O158" s="252"/>
      <c r="P158" s="342"/>
      <c r="Q158" s="343"/>
    </row>
    <row r="159" spans="1:17" s="244" customFormat="1" hidden="1">
      <c r="A159" s="232"/>
      <c r="B159" s="214"/>
      <c r="C159" s="172"/>
      <c r="D159" s="172"/>
      <c r="E159" s="172"/>
      <c r="F159" s="171"/>
      <c r="G159" s="172"/>
      <c r="H159" s="172"/>
      <c r="I159" s="172"/>
      <c r="J159" s="171"/>
      <c r="K159" s="349"/>
      <c r="L159" s="124"/>
      <c r="M159" s="340"/>
      <c r="N159" s="638"/>
      <c r="O159" s="252"/>
      <c r="P159" s="342"/>
      <c r="Q159" s="343"/>
    </row>
    <row r="160" spans="1:17" s="244" customFormat="1" ht="59.25" customHeight="1">
      <c r="A160" s="229" t="s">
        <v>44</v>
      </c>
      <c r="B160" s="300" t="s">
        <v>13</v>
      </c>
      <c r="C160" s="103">
        <v>932.4</v>
      </c>
      <c r="D160" s="103"/>
      <c r="E160" s="103"/>
      <c r="F160" s="104">
        <f>E160+D160+C160</f>
        <v>932.4</v>
      </c>
      <c r="G160" s="103">
        <v>932.4</v>
      </c>
      <c r="H160" s="103"/>
      <c r="I160" s="103"/>
      <c r="J160" s="104">
        <f>I160+H160+G160</f>
        <v>932.4</v>
      </c>
      <c r="K160" s="102">
        <f>J160*100/F160</f>
        <v>100</v>
      </c>
      <c r="L160" s="131" t="s">
        <v>212</v>
      </c>
      <c r="M160" s="273">
        <v>611.5</v>
      </c>
      <c r="N160" s="639"/>
      <c r="O160" s="252">
        <v>932.4</v>
      </c>
      <c r="P160" s="342">
        <f>J160-O160</f>
        <v>0</v>
      </c>
      <c r="Q160" s="343"/>
    </row>
    <row r="161" spans="1:18" s="244" customFormat="1" ht="113.25" customHeight="1">
      <c r="A161" s="351" t="s">
        <v>46</v>
      </c>
      <c r="B161" s="26" t="s">
        <v>30</v>
      </c>
      <c r="C161" s="363">
        <v>37492.400000000001</v>
      </c>
      <c r="D161" s="363">
        <v>124019.8</v>
      </c>
      <c r="E161" s="363"/>
      <c r="F161" s="363">
        <f>E161+D161+C161</f>
        <v>161512.20000000001</v>
      </c>
      <c r="G161" s="363">
        <f>36321.4-0.1</f>
        <v>36321.300000000003</v>
      </c>
      <c r="H161" s="363">
        <f>124007.2+0.1</f>
        <v>124007.3</v>
      </c>
      <c r="I161" s="363"/>
      <c r="J161" s="363">
        <f>SUM(G161:I161)</f>
        <v>160328.6</v>
      </c>
      <c r="K161" s="377">
        <f>J161*100/F161</f>
        <v>99.267176101867221</v>
      </c>
      <c r="L161" s="8" t="s">
        <v>300</v>
      </c>
      <c r="M161" s="353">
        <f>10429.1+2836.6+17.88+1+111.86+4.1+47.7+70.55+583.06+171.75+89.3+0.8</f>
        <v>14363.699999999999</v>
      </c>
      <c r="N161" s="620">
        <f>M161+M162+M163+M164+M165+M166+M168+M167</f>
        <v>118895.3</v>
      </c>
      <c r="O161" s="353">
        <f>13433.31+4025.84+30.99+1+158.38+4.1+47.7+79.6+863.32+445.06+90.4+7.2+1.6</f>
        <v>19188.500000000004</v>
      </c>
      <c r="P161" s="622">
        <f>O161+O162+O163+O164+O167+O168</f>
        <v>160328.6</v>
      </c>
      <c r="Q161" s="342">
        <f>J161-P161</f>
        <v>0</v>
      </c>
    </row>
    <row r="162" spans="1:18" s="244" customFormat="1" ht="70.5" customHeight="1">
      <c r="A162" s="77"/>
      <c r="B162" s="71"/>
      <c r="C162" s="171"/>
      <c r="D162" s="171"/>
      <c r="E162" s="171"/>
      <c r="F162" s="171"/>
      <c r="G162" s="171"/>
      <c r="H162" s="171"/>
      <c r="I162" s="171"/>
      <c r="J162" s="171"/>
      <c r="K162" s="349"/>
      <c r="L162" s="12" t="s">
        <v>306</v>
      </c>
      <c r="M162" s="340">
        <v>95040.2</v>
      </c>
      <c r="N162" s="621"/>
      <c r="O162" s="340">
        <v>122359</v>
      </c>
      <c r="P162" s="623"/>
      <c r="Q162" s="343"/>
    </row>
    <row r="163" spans="1:18" s="244" customFormat="1" ht="145.5" customHeight="1">
      <c r="A163" s="77"/>
      <c r="B163" s="71"/>
      <c r="C163" s="171"/>
      <c r="D163" s="171"/>
      <c r="E163" s="171"/>
      <c r="F163" s="171"/>
      <c r="G163" s="171"/>
      <c r="H163" s="171"/>
      <c r="I163" s="171"/>
      <c r="J163" s="171"/>
      <c r="K163" s="349"/>
      <c r="L163" s="12" t="s">
        <v>301</v>
      </c>
      <c r="M163" s="340">
        <f>5375+41.08+181.2+1526.71+69.2+19.97+130.15+25.16+22.75+41.65+5.29+0.44</f>
        <v>7438.5999999999985</v>
      </c>
      <c r="N163" s="621"/>
      <c r="O163" s="340">
        <f>7210.49+47.44+181.17+2245.87+84.4+73.36+165.58+62.59+130.35+55.28+5.29+0.88</f>
        <v>10262.700000000001</v>
      </c>
      <c r="P163" s="623"/>
      <c r="Q163" s="343"/>
    </row>
    <row r="164" spans="1:18" s="244" customFormat="1" ht="62.25" customHeight="1">
      <c r="A164" s="77"/>
      <c r="B164" s="71"/>
      <c r="C164" s="171"/>
      <c r="D164" s="171"/>
      <c r="E164" s="171"/>
      <c r="F164" s="171"/>
      <c r="G164" s="171"/>
      <c r="H164" s="171"/>
      <c r="I164" s="171"/>
      <c r="J164" s="171"/>
      <c r="K164" s="349"/>
      <c r="L164" s="12" t="s">
        <v>303</v>
      </c>
      <c r="M164" s="340">
        <v>512.79999999999995</v>
      </c>
      <c r="N164" s="621"/>
      <c r="O164" s="625">
        <f>720.5+771+15</f>
        <v>1506.5</v>
      </c>
      <c r="P164" s="623"/>
      <c r="Q164" s="343"/>
    </row>
    <row r="165" spans="1:18" s="244" customFormat="1" ht="39.75" customHeight="1">
      <c r="A165" s="77"/>
      <c r="B165" s="71"/>
      <c r="C165" s="171"/>
      <c r="D165" s="171"/>
      <c r="E165" s="171"/>
      <c r="F165" s="171"/>
      <c r="G165" s="171"/>
      <c r="H165" s="171"/>
      <c r="I165" s="171"/>
      <c r="J165" s="171"/>
      <c r="K165" s="349"/>
      <c r="L165" s="12" t="s">
        <v>302</v>
      </c>
      <c r="M165" s="340">
        <v>563.20000000000005</v>
      </c>
      <c r="N165" s="278"/>
      <c r="O165" s="625"/>
      <c r="P165" s="623"/>
      <c r="Q165" s="343"/>
    </row>
    <row r="166" spans="1:18" s="244" customFormat="1" ht="41.25" customHeight="1">
      <c r="A166" s="77"/>
      <c r="B166" s="71"/>
      <c r="C166" s="171"/>
      <c r="D166" s="171"/>
      <c r="E166" s="171"/>
      <c r="F166" s="171"/>
      <c r="G166" s="171"/>
      <c r="H166" s="171"/>
      <c r="I166" s="171"/>
      <c r="J166" s="171"/>
      <c r="K166" s="349"/>
      <c r="L166" s="12" t="s">
        <v>98</v>
      </c>
      <c r="M166" s="340">
        <v>15</v>
      </c>
      <c r="N166" s="278"/>
      <c r="O166" s="625"/>
      <c r="P166" s="623"/>
      <c r="Q166" s="343"/>
    </row>
    <row r="167" spans="1:18" s="244" customFormat="1" ht="79.5" customHeight="1">
      <c r="A167" s="77"/>
      <c r="B167" s="71"/>
      <c r="C167" s="171"/>
      <c r="D167" s="171"/>
      <c r="E167" s="171"/>
      <c r="F167" s="171"/>
      <c r="G167" s="171"/>
      <c r="H167" s="171"/>
      <c r="I167" s="171"/>
      <c r="J167" s="171"/>
      <c r="K167" s="349"/>
      <c r="L167" s="71" t="s">
        <v>304</v>
      </c>
      <c r="M167" s="340">
        <v>869</v>
      </c>
      <c r="N167" s="278"/>
      <c r="O167" s="340">
        <v>6867.1</v>
      </c>
      <c r="P167" s="623"/>
      <c r="Q167" s="343"/>
    </row>
    <row r="168" spans="1:18" s="244" customFormat="1" ht="97.5" customHeight="1">
      <c r="A168" s="222"/>
      <c r="B168" s="28"/>
      <c r="C168" s="366"/>
      <c r="D168" s="366"/>
      <c r="E168" s="366"/>
      <c r="F168" s="366"/>
      <c r="G168" s="366"/>
      <c r="H168" s="366"/>
      <c r="I168" s="366"/>
      <c r="J168" s="366"/>
      <c r="K168" s="350"/>
      <c r="L168" s="28" t="s">
        <v>305</v>
      </c>
      <c r="M168" s="273">
        <f>57.9+11.5+8+14.4+1</f>
        <v>92.800000000000011</v>
      </c>
      <c r="N168" s="279"/>
      <c r="O168" s="273">
        <f>73.5+11.5+10.4+14.4+4.9+20.6+9.5</f>
        <v>144.80000000000001</v>
      </c>
      <c r="P168" s="624"/>
      <c r="Q168" s="343"/>
    </row>
    <row r="169" spans="1:18" s="244" customFormat="1" ht="108.75" customHeight="1">
      <c r="A169" s="233" t="s">
        <v>47</v>
      </c>
      <c r="B169" s="162" t="s">
        <v>78</v>
      </c>
      <c r="C169" s="104">
        <v>390</v>
      </c>
      <c r="D169" s="104">
        <v>235.2</v>
      </c>
      <c r="E169" s="104">
        <v>2116</v>
      </c>
      <c r="F169" s="104">
        <f>C169+D169+E169</f>
        <v>2741.2</v>
      </c>
      <c r="G169" s="104">
        <v>390</v>
      </c>
      <c r="H169" s="104">
        <v>235.2</v>
      </c>
      <c r="I169" s="104">
        <v>2116</v>
      </c>
      <c r="J169" s="104">
        <f>I169+H169+G169</f>
        <v>2741.2</v>
      </c>
      <c r="K169" s="102">
        <f>J169*100/F169</f>
        <v>100</v>
      </c>
      <c r="L169" s="131" t="s">
        <v>215</v>
      </c>
      <c r="M169" s="252">
        <v>2741.2</v>
      </c>
      <c r="N169" s="219"/>
      <c r="O169" s="252">
        <v>2741.2</v>
      </c>
      <c r="P169" s="342"/>
      <c r="Q169" s="343"/>
    </row>
    <row r="170" spans="1:18" s="244" customFormat="1" ht="251.25" customHeight="1">
      <c r="A170" s="626" t="s">
        <v>49</v>
      </c>
      <c r="B170" s="590" t="s">
        <v>87</v>
      </c>
      <c r="C170" s="363">
        <v>3684.9</v>
      </c>
      <c r="D170" s="363">
        <v>652</v>
      </c>
      <c r="E170" s="363"/>
      <c r="F170" s="363">
        <f>E170+D170+C170</f>
        <v>4336.8999999999996</v>
      </c>
      <c r="G170" s="629">
        <v>3105.1</v>
      </c>
      <c r="H170" s="629">
        <v>648.6</v>
      </c>
      <c r="I170" s="631"/>
      <c r="J170" s="629">
        <f>I170+H170+G170</f>
        <v>3753.7</v>
      </c>
      <c r="K170" s="633">
        <f>J170*100/F170</f>
        <v>86.552606700638719</v>
      </c>
      <c r="L170" s="123" t="s">
        <v>314</v>
      </c>
      <c r="M170" s="353">
        <f>152.6+73.5+1208.5+2.5+37.2+7.5+71.3+3.9+205.2+0.1</f>
        <v>1762.3</v>
      </c>
      <c r="N170" s="620">
        <f>M170+M171</f>
        <v>2234.1999999999998</v>
      </c>
      <c r="O170" s="353">
        <f>1646.51+367.26+184.4+205.2+610.8+0.4+10.17+2.16+1.5+5.4+71.3</f>
        <v>3105.1000000000004</v>
      </c>
      <c r="P170" s="612">
        <f>O170+O171</f>
        <v>3753.7000000000003</v>
      </c>
      <c r="Q170" s="636">
        <f>J170-P170</f>
        <v>0</v>
      </c>
    </row>
    <row r="171" spans="1:18" s="244" customFormat="1" ht="42" customHeight="1">
      <c r="A171" s="627"/>
      <c r="B171" s="628"/>
      <c r="C171" s="366"/>
      <c r="D171" s="366"/>
      <c r="E171" s="366"/>
      <c r="F171" s="366"/>
      <c r="G171" s="630"/>
      <c r="H171" s="630"/>
      <c r="I171" s="632"/>
      <c r="J171" s="630"/>
      <c r="K171" s="634"/>
      <c r="L171" s="378" t="s">
        <v>344</v>
      </c>
      <c r="M171" s="273">
        <v>471.9</v>
      </c>
      <c r="N171" s="635"/>
      <c r="O171" s="273">
        <v>648.6</v>
      </c>
      <c r="P171" s="614"/>
      <c r="Q171" s="636"/>
    </row>
    <row r="172" spans="1:18" s="244" customFormat="1" ht="120" customHeight="1">
      <c r="A172" s="228" t="s">
        <v>50</v>
      </c>
      <c r="B172" s="162" t="s">
        <v>79</v>
      </c>
      <c r="C172" s="104">
        <f t="shared" ref="C172:J172" si="5">C173+C178+C179</f>
        <v>34068.5</v>
      </c>
      <c r="D172" s="104">
        <f t="shared" si="5"/>
        <v>17361.3</v>
      </c>
      <c r="E172" s="104">
        <f t="shared" si="5"/>
        <v>0</v>
      </c>
      <c r="F172" s="104">
        <f t="shared" si="5"/>
        <v>51429.8</v>
      </c>
      <c r="G172" s="104">
        <f t="shared" si="5"/>
        <v>33013.1</v>
      </c>
      <c r="H172" s="104">
        <f t="shared" si="5"/>
        <v>5666.6</v>
      </c>
      <c r="I172" s="104">
        <f t="shared" si="5"/>
        <v>0</v>
      </c>
      <c r="J172" s="104">
        <f t="shared" si="5"/>
        <v>38679.699999999997</v>
      </c>
      <c r="K172" s="102">
        <f t="shared" ref="K172:K180" si="6">J172*100/F172</f>
        <v>75.208731124756454</v>
      </c>
      <c r="L172" s="308"/>
      <c r="M172" s="353"/>
      <c r="N172" s="289">
        <f>M173+M175+M179</f>
        <v>13318.800000000001</v>
      </c>
      <c r="O172" s="252"/>
      <c r="P172" s="342"/>
      <c r="Q172" s="343"/>
    </row>
    <row r="173" spans="1:18" s="244" customFormat="1" ht="90" customHeight="1">
      <c r="A173" s="231" t="s">
        <v>51</v>
      </c>
      <c r="B173" s="97" t="s">
        <v>14</v>
      </c>
      <c r="C173" s="364">
        <v>16900.2</v>
      </c>
      <c r="D173" s="364">
        <v>17361.3</v>
      </c>
      <c r="E173" s="364"/>
      <c r="F173" s="363">
        <f>E173+D173+C173</f>
        <v>34261.5</v>
      </c>
      <c r="G173" s="364">
        <v>16661.599999999999</v>
      </c>
      <c r="H173" s="364">
        <v>5666.6</v>
      </c>
      <c r="I173" s="364"/>
      <c r="J173" s="363">
        <f>I173+H173+G173</f>
        <v>22328.199999999997</v>
      </c>
      <c r="K173" s="377">
        <f t="shared" si="6"/>
        <v>65.169942938867223</v>
      </c>
      <c r="L173" s="8" t="s">
        <v>245</v>
      </c>
      <c r="M173" s="274">
        <f>38.1+140+20</f>
        <v>198.1</v>
      </c>
      <c r="N173" s="278"/>
      <c r="O173" s="353">
        <v>110.2</v>
      </c>
      <c r="P173" s="612">
        <f>O173+O174+O175+O176</f>
        <v>22328.2</v>
      </c>
      <c r="Q173" s="342"/>
      <c r="R173" s="269"/>
    </row>
    <row r="174" spans="1:18" s="244" customFormat="1" ht="168" customHeight="1">
      <c r="A174" s="232"/>
      <c r="B174" s="227"/>
      <c r="C174" s="172"/>
      <c r="D174" s="172"/>
      <c r="E174" s="172"/>
      <c r="F174" s="171"/>
      <c r="G174" s="172"/>
      <c r="H174" s="172"/>
      <c r="I174" s="172"/>
      <c r="J174" s="171"/>
      <c r="K174" s="349"/>
      <c r="L174" s="12" t="s">
        <v>246</v>
      </c>
      <c r="M174" s="274"/>
      <c r="N174" s="278"/>
      <c r="O174" s="340">
        <f>73.4+292.3+140+20</f>
        <v>525.70000000000005</v>
      </c>
      <c r="P174" s="613"/>
      <c r="Q174" s="342">
        <f>J173-P173</f>
        <v>0</v>
      </c>
      <c r="R174" s="269"/>
    </row>
    <row r="175" spans="1:18" s="244" customFormat="1" ht="67.5" customHeight="1">
      <c r="A175" s="232"/>
      <c r="B175" s="227"/>
      <c r="C175" s="172"/>
      <c r="D175" s="172"/>
      <c r="E175" s="172"/>
      <c r="F175" s="171"/>
      <c r="G175" s="172"/>
      <c r="H175" s="172"/>
      <c r="I175" s="172"/>
      <c r="J175" s="171"/>
      <c r="K175" s="349"/>
      <c r="L175" s="71" t="s">
        <v>315</v>
      </c>
      <c r="M175" s="340">
        <v>1345</v>
      </c>
      <c r="N175" s="278"/>
      <c r="O175" s="331">
        <v>15910</v>
      </c>
      <c r="P175" s="613"/>
      <c r="Q175" s="343"/>
    </row>
    <row r="176" spans="1:18" s="244" customFormat="1" ht="110.25" customHeight="1">
      <c r="A176" s="232"/>
      <c r="B176" s="227"/>
      <c r="C176" s="172"/>
      <c r="D176" s="172"/>
      <c r="E176" s="172"/>
      <c r="F176" s="171"/>
      <c r="G176" s="172"/>
      <c r="H176" s="172"/>
      <c r="I176" s="172"/>
      <c r="J176" s="171"/>
      <c r="K176" s="349"/>
      <c r="L176" s="71" t="s">
        <v>270</v>
      </c>
      <c r="M176" s="340"/>
      <c r="N176" s="278"/>
      <c r="O176" s="273">
        <f>4704+1078.3</f>
        <v>5782.3</v>
      </c>
      <c r="P176" s="614"/>
      <c r="Q176" s="343"/>
    </row>
    <row r="177" spans="1:26" s="244" customFormat="1" ht="69" hidden="1" customHeight="1">
      <c r="A177" s="234"/>
      <c r="B177" s="235"/>
      <c r="C177" s="367"/>
      <c r="D177" s="367"/>
      <c r="E177" s="367"/>
      <c r="F177" s="366"/>
      <c r="G177" s="367"/>
      <c r="H177" s="367"/>
      <c r="I177" s="367"/>
      <c r="J177" s="366"/>
      <c r="K177" s="350"/>
      <c r="L177" s="28"/>
      <c r="M177" s="340"/>
      <c r="N177" s="278"/>
      <c r="O177" s="252"/>
      <c r="P177" s="342"/>
      <c r="Q177" s="343"/>
    </row>
    <row r="178" spans="1:26" hidden="1">
      <c r="A178" s="229" t="s">
        <v>52</v>
      </c>
      <c r="B178" s="226" t="s">
        <v>15</v>
      </c>
      <c r="C178" s="103"/>
      <c r="D178" s="103"/>
      <c r="E178" s="103"/>
      <c r="F178" s="104">
        <f>C178+D178+E178</f>
        <v>0</v>
      </c>
      <c r="G178" s="103"/>
      <c r="H178" s="103"/>
      <c r="I178" s="103"/>
      <c r="J178" s="104">
        <f>I178+H178+G178</f>
        <v>0</v>
      </c>
      <c r="K178" s="102">
        <v>0</v>
      </c>
      <c r="L178" s="140"/>
      <c r="M178" s="340"/>
      <c r="N178" s="278"/>
    </row>
    <row r="179" spans="1:26" ht="151.5" customHeight="1">
      <c r="A179" s="230" t="s">
        <v>52</v>
      </c>
      <c r="B179" s="226" t="s">
        <v>5</v>
      </c>
      <c r="C179" s="103">
        <v>17168.3</v>
      </c>
      <c r="D179" s="103"/>
      <c r="E179" s="103"/>
      <c r="F179" s="104">
        <f>E179+D179+C179</f>
        <v>17168.3</v>
      </c>
      <c r="G179" s="103">
        <v>16351.5</v>
      </c>
      <c r="H179" s="103"/>
      <c r="I179" s="103"/>
      <c r="J179" s="104">
        <f>I179+H179+G179</f>
        <v>16351.5</v>
      </c>
      <c r="K179" s="102">
        <f t="shared" si="6"/>
        <v>95.242394412958774</v>
      </c>
      <c r="L179" s="113" t="s">
        <v>244</v>
      </c>
      <c r="M179" s="273">
        <f>8128.45+41.23+2+2331.96+81.6+206.1+77.1+417.1+153.1+243.1+88.56+2.3+3.1</f>
        <v>11775.7</v>
      </c>
      <c r="N179" s="279"/>
      <c r="O179" s="252">
        <f>11042.12+56.7+4+3526.02+108.66+254.7+129.08+631.72+166.43+243.1+170.33+2.29+12.35+4</f>
        <v>16351.500000000004</v>
      </c>
      <c r="P179" s="342">
        <f>J179-O179</f>
        <v>0</v>
      </c>
    </row>
    <row r="180" spans="1:26" ht="72.75" customHeight="1">
      <c r="A180" s="215" t="s">
        <v>53</v>
      </c>
      <c r="B180" s="257" t="s">
        <v>80</v>
      </c>
      <c r="C180" s="104">
        <v>50</v>
      </c>
      <c r="D180" s="104"/>
      <c r="E180" s="104"/>
      <c r="F180" s="104">
        <f>E180+D180+C180</f>
        <v>50</v>
      </c>
      <c r="G180" s="104">
        <v>50</v>
      </c>
      <c r="H180" s="104"/>
      <c r="I180" s="104"/>
      <c r="J180" s="104">
        <f>SUM(G180:I180)</f>
        <v>50</v>
      </c>
      <c r="K180" s="102">
        <f t="shared" si="6"/>
        <v>100</v>
      </c>
      <c r="L180" s="113" t="s">
        <v>316</v>
      </c>
      <c r="O180" s="252">
        <v>50</v>
      </c>
      <c r="P180" s="342">
        <f>J180-O180</f>
        <v>0</v>
      </c>
    </row>
    <row r="181" spans="1:26" s="237" customFormat="1" ht="40.5" customHeight="1">
      <c r="A181" s="615" t="s">
        <v>54</v>
      </c>
      <c r="B181" s="616"/>
      <c r="C181" s="283">
        <f t="shared" ref="C181:J181" si="7">C147+C172+C170+C131+C169+C137+C138+C68+C120+C143+C106+C70+C18+C161+C180+C17+C7</f>
        <v>779892.29999999993</v>
      </c>
      <c r="D181" s="283">
        <f t="shared" si="7"/>
        <v>1152305.3</v>
      </c>
      <c r="E181" s="283">
        <f t="shared" si="7"/>
        <v>120225.4</v>
      </c>
      <c r="F181" s="283">
        <f t="shared" si="7"/>
        <v>2052422.9999999998</v>
      </c>
      <c r="G181" s="283">
        <f>G147+G172+G170+G131+G169+G137+G138+G68+G120+G143+G106+G70+G18+G161+G180+G17+G7</f>
        <v>709081.59999999998</v>
      </c>
      <c r="H181" s="283">
        <f t="shared" si="7"/>
        <v>1109925</v>
      </c>
      <c r="I181" s="283">
        <f t="shared" si="7"/>
        <v>118970.90000000001</v>
      </c>
      <c r="J181" s="283">
        <f t="shared" si="7"/>
        <v>1937977.5000000002</v>
      </c>
      <c r="K181" s="248">
        <f>J181/F181*100</f>
        <v>94.423883380765091</v>
      </c>
      <c r="L181" s="236"/>
      <c r="M181" s="252"/>
      <c r="N181" s="219"/>
      <c r="O181" s="252"/>
      <c r="P181" s="342"/>
      <c r="Q181" s="343"/>
      <c r="R181" s="271"/>
      <c r="S181" s="271"/>
      <c r="T181" s="271"/>
      <c r="U181" s="271"/>
      <c r="V181" s="271"/>
      <c r="W181" s="271"/>
      <c r="X181" s="271"/>
      <c r="Y181" s="271"/>
      <c r="Z181" s="271"/>
    </row>
    <row r="182" spans="1:26" s="237" customFormat="1" ht="40.5" hidden="1" customHeight="1">
      <c r="A182" s="238"/>
      <c r="B182" s="238"/>
      <c r="C182" s="284">
        <v>748770.2</v>
      </c>
      <c r="D182" s="284">
        <v>880402.6</v>
      </c>
      <c r="E182" s="284">
        <v>260171.6</v>
      </c>
      <c r="F182" s="284">
        <v>1889344.3</v>
      </c>
      <c r="G182" s="284">
        <v>335269.2</v>
      </c>
      <c r="H182" s="284">
        <v>377485.6</v>
      </c>
      <c r="I182" s="284">
        <v>80128.600000000006</v>
      </c>
      <c r="J182" s="284">
        <v>792883.4</v>
      </c>
      <c r="K182" s="249"/>
      <c r="L182" s="239"/>
      <c r="M182" s="252"/>
      <c r="N182" s="219"/>
      <c r="O182" s="252"/>
      <c r="P182" s="342"/>
      <c r="Q182" s="343"/>
      <c r="R182" s="271"/>
      <c r="S182" s="271"/>
      <c r="T182" s="271"/>
      <c r="U182" s="271"/>
      <c r="V182" s="271"/>
      <c r="W182" s="271"/>
      <c r="X182" s="271"/>
      <c r="Y182" s="271"/>
      <c r="Z182" s="271"/>
    </row>
    <row r="183" spans="1:26" s="237" customFormat="1" ht="108.75" hidden="1" customHeight="1">
      <c r="A183" s="238"/>
      <c r="B183" s="238"/>
      <c r="C183" s="284">
        <f>14175.4+48+393503.9+5051.2+102635.5+14833.7+13008.7+28368.7+21+198+1802.5+28261.1+41163.9+390+4079.5+101122+107</f>
        <v>748770.1</v>
      </c>
      <c r="D183" s="284">
        <f>2011.3+625383.9+455+471.9+1464.7+96572+3513+2000+20000+111027.6+192.7+523+16787.4</f>
        <v>880402.5</v>
      </c>
      <c r="E183" s="284">
        <f>230.6+71229.3+165.8+115303+11061.5+737.8+61443.6</f>
        <v>260171.6</v>
      </c>
      <c r="F183" s="284">
        <f>16417.3+48+1090117.1+5506.2+103273.2+131601.4+120642.2+31881.7+21+198+3802.5+48261.1+152191.5+1320.5+4602.5+179353+107</f>
        <v>1889344.2</v>
      </c>
      <c r="G183" s="284">
        <f>5825.1+35.2+181824.6+2660.1+45161+5746.8+6852.4+8306.2+6.1+6.9+809.7+1488.2+69577.5+1403.3+5566</f>
        <v>335269.10000000003</v>
      </c>
      <c r="H183" s="284">
        <f>757.9+330096.2+157.6+206.7+501+41396.2+1000+772.2+323.6+2274.2</f>
        <v>377485.60000000003</v>
      </c>
      <c r="I183" s="284">
        <f>230.6+32492.7+165.8+19899.9+9396+17943.6</f>
        <v>80128.600000000006</v>
      </c>
      <c r="J183" s="284">
        <f>6813.6+35.2+544413.5+2817.7+45533.5+26147.7+57644.6+8306.2+6.1+6.9+1809.7+1488.2+70349.7+1726.9+25783.8</f>
        <v>792883.29999999981</v>
      </c>
      <c r="K183" s="249"/>
      <c r="L183" s="239"/>
      <c r="M183" s="252"/>
      <c r="N183" s="219"/>
      <c r="O183" s="252"/>
      <c r="P183" s="342"/>
      <c r="Q183" s="343"/>
      <c r="R183" s="271"/>
      <c r="S183" s="271"/>
      <c r="T183" s="271"/>
      <c r="U183" s="271"/>
      <c r="V183" s="271"/>
      <c r="W183" s="271"/>
      <c r="X183" s="271"/>
      <c r="Y183" s="271"/>
      <c r="Z183" s="271"/>
    </row>
    <row r="184" spans="1:26" hidden="1">
      <c r="A184" s="240"/>
      <c r="B184" s="241"/>
      <c r="C184" s="285">
        <f>C183-C181</f>
        <v>-31122.199999999953</v>
      </c>
      <c r="D184" s="285">
        <f t="shared" ref="D184:J184" si="8">D183-D181</f>
        <v>-271902.80000000005</v>
      </c>
      <c r="E184" s="285">
        <f t="shared" si="8"/>
        <v>139946.20000000001</v>
      </c>
      <c r="F184" s="285">
        <f t="shared" si="8"/>
        <v>-163078.79999999981</v>
      </c>
      <c r="G184" s="285">
        <f t="shared" si="8"/>
        <v>-373812.49999999994</v>
      </c>
      <c r="H184" s="285">
        <f t="shared" si="8"/>
        <v>-732439.39999999991</v>
      </c>
      <c r="I184" s="285">
        <f t="shared" si="8"/>
        <v>-38842.300000000003</v>
      </c>
      <c r="J184" s="285">
        <f t="shared" si="8"/>
        <v>-1145094.2000000004</v>
      </c>
      <c r="K184" s="250"/>
      <c r="L184" s="240"/>
    </row>
    <row r="185" spans="1:26" ht="27.75" hidden="1" customHeight="1">
      <c r="A185" s="240"/>
      <c r="B185" s="241"/>
      <c r="C185" s="285"/>
      <c r="D185" s="285"/>
      <c r="E185" s="285"/>
      <c r="F185" s="285"/>
      <c r="G185" s="285"/>
      <c r="H185" s="285"/>
      <c r="I185" s="285"/>
      <c r="J185" s="285"/>
      <c r="K185" s="250"/>
      <c r="L185" s="240"/>
    </row>
    <row r="186" spans="1:26" ht="27.75" hidden="1" customHeight="1">
      <c r="A186" s="240"/>
      <c r="B186" s="241"/>
      <c r="C186" s="285"/>
      <c r="D186" s="285"/>
      <c r="E186" s="285"/>
      <c r="F186" s="285"/>
      <c r="G186" s="285"/>
      <c r="H186" s="285"/>
      <c r="I186" s="285"/>
      <c r="J186" s="285"/>
      <c r="K186" s="246"/>
      <c r="L186" s="240"/>
    </row>
    <row r="187" spans="1:26" ht="27.75" customHeight="1">
      <c r="A187" s="240"/>
      <c r="B187" s="241"/>
      <c r="C187" s="284">
        <v>779892.3</v>
      </c>
      <c r="D187" s="284">
        <v>1152305.3</v>
      </c>
      <c r="E187" s="284">
        <v>120225.4</v>
      </c>
      <c r="F187" s="284">
        <f>C187+D187+E187</f>
        <v>2052423</v>
      </c>
      <c r="G187" s="284">
        <v>709081.59999999998</v>
      </c>
      <c r="H187" s="284">
        <v>1109925</v>
      </c>
      <c r="I187" s="284">
        <v>118970.9</v>
      </c>
      <c r="J187" s="284">
        <f>G187+H187+I187</f>
        <v>1937977.5</v>
      </c>
      <c r="K187" s="246"/>
      <c r="L187" s="240"/>
    </row>
    <row r="188" spans="1:26" ht="27.75" customHeight="1">
      <c r="A188" s="240"/>
      <c r="B188" s="241"/>
      <c r="C188" s="330">
        <f>C187-C181</f>
        <v>0</v>
      </c>
      <c r="D188" s="330">
        <f>D187-D181</f>
        <v>0</v>
      </c>
      <c r="E188" s="330">
        <f t="shared" ref="E188" si="9">E187-E181</f>
        <v>0</v>
      </c>
      <c r="F188" s="330">
        <f>F187-F181</f>
        <v>0</v>
      </c>
      <c r="G188" s="330">
        <f>G187-G181</f>
        <v>0</v>
      </c>
      <c r="H188" s="330">
        <f>H187-H181</f>
        <v>0</v>
      </c>
      <c r="I188" s="330">
        <f>I187-I181</f>
        <v>0</v>
      </c>
      <c r="J188" s="330">
        <f>J187-J181</f>
        <v>0</v>
      </c>
      <c r="K188" s="246"/>
      <c r="L188" s="240"/>
    </row>
    <row r="189" spans="1:26" ht="82.5" customHeight="1">
      <c r="A189" s="310" t="s">
        <v>214</v>
      </c>
      <c r="B189" s="310"/>
      <c r="C189" s="311"/>
      <c r="D189" s="311"/>
      <c r="E189" s="311"/>
      <c r="F189" s="311"/>
      <c r="G189" s="311"/>
      <c r="H189" s="311"/>
      <c r="I189" s="311"/>
      <c r="J189" s="311"/>
      <c r="K189" s="312"/>
      <c r="L189" s="313"/>
    </row>
    <row r="190" spans="1:26" ht="27">
      <c r="A190" s="314" t="s">
        <v>55</v>
      </c>
      <c r="B190" s="314"/>
      <c r="C190" s="315"/>
      <c r="D190" s="311"/>
      <c r="E190" s="311"/>
      <c r="F190" s="311"/>
      <c r="G190" s="311"/>
      <c r="H190" s="311"/>
      <c r="I190" s="311"/>
      <c r="J190" s="311"/>
      <c r="K190" s="312"/>
      <c r="L190" s="313"/>
    </row>
    <row r="191" spans="1:26" ht="27">
      <c r="A191" s="316" t="s">
        <v>152</v>
      </c>
      <c r="B191" s="316"/>
      <c r="C191" s="317"/>
      <c r="D191" s="379"/>
      <c r="E191" s="380"/>
      <c r="F191" s="318"/>
      <c r="G191" s="319"/>
      <c r="H191" s="319"/>
      <c r="I191" s="319"/>
      <c r="J191" s="318"/>
      <c r="K191" s="320"/>
      <c r="L191" s="321" t="s">
        <v>56</v>
      </c>
    </row>
    <row r="192" spans="1:26" ht="27">
      <c r="A192" s="322"/>
      <c r="B192" s="323"/>
      <c r="C192" s="319"/>
      <c r="D192" s="380"/>
      <c r="E192" s="380"/>
      <c r="F192" s="318"/>
      <c r="G192" s="319"/>
      <c r="H192" s="319"/>
      <c r="I192" s="319"/>
      <c r="J192" s="318"/>
      <c r="K192" s="320"/>
      <c r="L192" s="322"/>
    </row>
    <row r="193" spans="1:26" ht="48.75" customHeight="1">
      <c r="A193" s="322"/>
      <c r="B193" s="322"/>
      <c r="C193" s="319"/>
      <c r="D193" s="380"/>
      <c r="E193" s="380"/>
      <c r="F193" s="318"/>
      <c r="G193" s="319"/>
      <c r="H193" s="319"/>
      <c r="I193" s="319"/>
      <c r="J193" s="318"/>
      <c r="K193" s="320"/>
      <c r="L193" s="324"/>
    </row>
    <row r="194" spans="1:26">
      <c r="A194" s="205" t="s">
        <v>57</v>
      </c>
      <c r="D194" s="381"/>
      <c r="E194" s="381"/>
      <c r="L194" s="242"/>
    </row>
    <row r="195" spans="1:26" hidden="1">
      <c r="A195" s="205" t="s">
        <v>70</v>
      </c>
      <c r="D195" s="381"/>
      <c r="E195" s="381"/>
      <c r="L195" s="242"/>
    </row>
    <row r="196" spans="1:26" s="252" customFormat="1" hidden="1">
      <c r="A196" s="205" t="s">
        <v>71</v>
      </c>
      <c r="B196" s="205"/>
      <c r="C196" s="280"/>
      <c r="D196" s="381"/>
      <c r="E196" s="381"/>
      <c r="F196" s="281"/>
      <c r="G196" s="280"/>
      <c r="H196" s="280"/>
      <c r="I196" s="280"/>
      <c r="J196" s="281"/>
      <c r="K196" s="251"/>
      <c r="L196" s="242"/>
      <c r="N196" s="219"/>
      <c r="P196" s="342"/>
      <c r="Q196" s="343"/>
      <c r="R196" s="244"/>
      <c r="S196" s="244"/>
      <c r="T196" s="244"/>
      <c r="U196" s="244"/>
      <c r="V196" s="244"/>
      <c r="W196" s="244"/>
      <c r="X196" s="244"/>
      <c r="Y196" s="244"/>
      <c r="Z196" s="244"/>
    </row>
    <row r="197" spans="1:26" s="252" customFormat="1" ht="24.75" customHeight="1">
      <c r="A197" s="619" t="s">
        <v>110</v>
      </c>
      <c r="B197" s="619"/>
      <c r="C197" s="280"/>
      <c r="D197" s="381"/>
      <c r="E197" s="381"/>
      <c r="F197" s="281"/>
      <c r="G197" s="280"/>
      <c r="H197" s="280"/>
      <c r="I197" s="280"/>
      <c r="J197" s="281"/>
      <c r="K197" s="251"/>
      <c r="L197" s="243"/>
      <c r="N197" s="219"/>
      <c r="P197" s="342"/>
      <c r="Q197" s="343"/>
      <c r="R197" s="244"/>
      <c r="S197" s="244"/>
      <c r="T197" s="244"/>
      <c r="U197" s="244"/>
      <c r="V197" s="244"/>
      <c r="W197" s="244"/>
      <c r="X197" s="244"/>
      <c r="Y197" s="244"/>
      <c r="Z197" s="244"/>
    </row>
    <row r="198" spans="1:26" s="252" customFormat="1">
      <c r="A198" s="205"/>
      <c r="B198" s="205"/>
      <c r="C198" s="280"/>
      <c r="D198" s="381"/>
      <c r="E198" s="381"/>
      <c r="F198" s="281"/>
      <c r="G198" s="280"/>
      <c r="H198" s="280"/>
      <c r="I198" s="280"/>
      <c r="J198" s="281"/>
      <c r="K198" s="251"/>
      <c r="L198" s="205"/>
      <c r="N198" s="219"/>
      <c r="P198" s="342"/>
      <c r="Q198" s="343"/>
      <c r="R198" s="244"/>
      <c r="S198" s="244"/>
      <c r="T198" s="244"/>
      <c r="U198" s="244"/>
      <c r="V198" s="244"/>
      <c r="W198" s="244"/>
      <c r="X198" s="244"/>
      <c r="Y198" s="244"/>
      <c r="Z198" s="244"/>
    </row>
    <row r="199" spans="1:26" s="252" customFormat="1">
      <c r="A199" s="205"/>
      <c r="B199" s="205"/>
      <c r="C199" s="280"/>
      <c r="D199" s="381"/>
      <c r="E199" s="381"/>
      <c r="F199" s="281"/>
      <c r="G199" s="280"/>
      <c r="H199" s="280"/>
      <c r="I199" s="280"/>
      <c r="J199" s="281"/>
      <c r="K199" s="251"/>
      <c r="L199" s="205"/>
      <c r="N199" s="219"/>
      <c r="P199" s="342"/>
      <c r="Q199" s="343"/>
      <c r="R199" s="244"/>
      <c r="S199" s="244"/>
      <c r="T199" s="244"/>
      <c r="U199" s="244"/>
      <c r="V199" s="244"/>
      <c r="W199" s="244"/>
      <c r="X199" s="244"/>
      <c r="Y199" s="244"/>
      <c r="Z199" s="244"/>
    </row>
    <row r="200" spans="1:26" s="252" customFormat="1">
      <c r="A200" s="205"/>
      <c r="B200" s="205"/>
      <c r="C200" s="280"/>
      <c r="D200" s="381"/>
      <c r="E200" s="381"/>
      <c r="F200" s="281"/>
      <c r="G200" s="280"/>
      <c r="H200" s="280"/>
      <c r="I200" s="280"/>
      <c r="J200" s="281"/>
      <c r="K200" s="251"/>
      <c r="L200" s="242"/>
      <c r="N200" s="219"/>
      <c r="P200" s="342"/>
      <c r="Q200" s="343"/>
      <c r="R200" s="244"/>
      <c r="S200" s="244"/>
      <c r="T200" s="244"/>
      <c r="U200" s="244"/>
      <c r="V200" s="244"/>
      <c r="W200" s="244"/>
      <c r="X200" s="244"/>
      <c r="Y200" s="244"/>
      <c r="Z200" s="244"/>
    </row>
    <row r="201" spans="1:26" s="252" customFormat="1">
      <c r="A201" s="205"/>
      <c r="B201" s="205"/>
      <c r="C201" s="280"/>
      <c r="D201" s="381"/>
      <c r="E201" s="381"/>
      <c r="F201" s="281"/>
      <c r="G201" s="280"/>
      <c r="H201" s="280"/>
      <c r="I201" s="280"/>
      <c r="J201" s="281"/>
      <c r="K201" s="251"/>
      <c r="L201" s="242"/>
      <c r="N201" s="219"/>
      <c r="P201" s="342"/>
      <c r="Q201" s="343"/>
      <c r="R201" s="244"/>
      <c r="S201" s="244"/>
      <c r="T201" s="244"/>
      <c r="U201" s="244"/>
      <c r="V201" s="244"/>
      <c r="W201" s="244"/>
      <c r="X201" s="244"/>
      <c r="Y201" s="244"/>
      <c r="Z201" s="244"/>
    </row>
    <row r="202" spans="1:26" s="252" customFormat="1">
      <c r="A202" s="205"/>
      <c r="B202" s="205"/>
      <c r="C202" s="280"/>
      <c r="D202" s="381"/>
      <c r="E202" s="381"/>
      <c r="F202" s="281"/>
      <c r="G202" s="280"/>
      <c r="H202" s="280"/>
      <c r="I202" s="280"/>
      <c r="J202" s="281"/>
      <c r="K202" s="251"/>
      <c r="L202" s="205"/>
      <c r="N202" s="219"/>
      <c r="P202" s="342"/>
      <c r="Q202" s="343"/>
      <c r="R202" s="244"/>
      <c r="S202" s="244"/>
      <c r="T202" s="244"/>
      <c r="U202" s="244"/>
      <c r="V202" s="244"/>
      <c r="W202" s="244"/>
      <c r="X202" s="244"/>
      <c r="Y202" s="244"/>
      <c r="Z202" s="244"/>
    </row>
    <row r="203" spans="1:26" s="252" customFormat="1">
      <c r="A203" s="205"/>
      <c r="B203" s="205"/>
      <c r="C203" s="280"/>
      <c r="D203" s="381"/>
      <c r="E203" s="381"/>
      <c r="F203" s="281"/>
      <c r="G203" s="280"/>
      <c r="H203" s="280"/>
      <c r="I203" s="280"/>
      <c r="J203" s="281"/>
      <c r="K203" s="251"/>
      <c r="L203" s="205"/>
      <c r="N203" s="219"/>
      <c r="P203" s="342"/>
      <c r="Q203" s="343"/>
      <c r="R203" s="244"/>
      <c r="S203" s="244"/>
      <c r="T203" s="244"/>
      <c r="U203" s="244"/>
      <c r="V203" s="244"/>
      <c r="W203" s="244"/>
      <c r="X203" s="244"/>
      <c r="Y203" s="244"/>
      <c r="Z203" s="244"/>
    </row>
    <row r="204" spans="1:26" s="252" customFormat="1">
      <c r="A204" s="205"/>
      <c r="B204" s="205"/>
      <c r="C204" s="280"/>
      <c r="D204" s="381"/>
      <c r="E204" s="381"/>
      <c r="F204" s="281"/>
      <c r="G204" s="280"/>
      <c r="H204" s="280"/>
      <c r="I204" s="280"/>
      <c r="J204" s="281"/>
      <c r="K204" s="251"/>
      <c r="L204" s="205"/>
      <c r="N204" s="219"/>
      <c r="P204" s="342"/>
      <c r="Q204" s="343"/>
      <c r="R204" s="244"/>
      <c r="S204" s="244"/>
      <c r="T204" s="244"/>
      <c r="U204" s="244"/>
      <c r="V204" s="244"/>
      <c r="W204" s="244"/>
      <c r="X204" s="244"/>
      <c r="Y204" s="244"/>
      <c r="Z204" s="244"/>
    </row>
    <row r="205" spans="1:26" s="252" customFormat="1">
      <c r="A205" s="205"/>
      <c r="B205" s="205"/>
      <c r="C205" s="280"/>
      <c r="D205" s="381"/>
      <c r="E205" s="381"/>
      <c r="F205" s="281"/>
      <c r="G205" s="280"/>
      <c r="H205" s="280"/>
      <c r="I205" s="280"/>
      <c r="J205" s="281"/>
      <c r="K205" s="251"/>
      <c r="L205" s="205"/>
      <c r="N205" s="219"/>
      <c r="P205" s="342"/>
      <c r="Q205" s="343"/>
      <c r="R205" s="244"/>
      <c r="S205" s="244"/>
      <c r="T205" s="244"/>
      <c r="U205" s="244"/>
      <c r="V205" s="244"/>
      <c r="W205" s="244"/>
      <c r="X205" s="244"/>
      <c r="Y205" s="244"/>
      <c r="Z205" s="244"/>
    </row>
    <row r="206" spans="1:26" s="252" customFormat="1">
      <c r="A206" s="205"/>
      <c r="B206" s="205"/>
      <c r="C206" s="280"/>
      <c r="D206" s="381"/>
      <c r="E206" s="381"/>
      <c r="F206" s="281"/>
      <c r="G206" s="280"/>
      <c r="H206" s="280"/>
      <c r="I206" s="280"/>
      <c r="J206" s="281"/>
      <c r="K206" s="251"/>
      <c r="L206" s="205"/>
      <c r="N206" s="219"/>
      <c r="P206" s="342"/>
      <c r="Q206" s="343"/>
      <c r="R206" s="244"/>
      <c r="S206" s="244"/>
      <c r="T206" s="244"/>
      <c r="U206" s="244"/>
      <c r="V206" s="244"/>
      <c r="W206" s="244"/>
      <c r="X206" s="244"/>
      <c r="Y206" s="244"/>
      <c r="Z206" s="244"/>
    </row>
    <row r="207" spans="1:26" s="252" customFormat="1">
      <c r="A207" s="205"/>
      <c r="B207" s="205"/>
      <c r="C207" s="280"/>
      <c r="D207" s="381"/>
      <c r="E207" s="280"/>
      <c r="F207" s="281"/>
      <c r="G207" s="280"/>
      <c r="H207" s="280"/>
      <c r="I207" s="280"/>
      <c r="J207" s="281"/>
      <c r="K207" s="251"/>
      <c r="L207" s="205"/>
      <c r="N207" s="219"/>
      <c r="P207" s="342"/>
      <c r="Q207" s="343"/>
      <c r="R207" s="244"/>
      <c r="S207" s="244"/>
      <c r="T207" s="244"/>
      <c r="U207" s="244"/>
      <c r="V207" s="244"/>
      <c r="W207" s="244"/>
      <c r="X207" s="244"/>
      <c r="Y207" s="244"/>
      <c r="Z207" s="244"/>
    </row>
    <row r="208" spans="1:26" s="252" customFormat="1">
      <c r="A208" s="205"/>
      <c r="B208" s="205"/>
      <c r="C208" s="280"/>
      <c r="D208" s="381"/>
      <c r="E208" s="280"/>
      <c r="F208" s="281"/>
      <c r="G208" s="280"/>
      <c r="H208" s="280"/>
      <c r="I208" s="280"/>
      <c r="J208" s="281"/>
      <c r="K208" s="251"/>
      <c r="L208" s="205"/>
      <c r="N208" s="219"/>
      <c r="P208" s="342"/>
      <c r="Q208" s="343"/>
      <c r="R208" s="244"/>
      <c r="S208" s="244"/>
      <c r="T208" s="244"/>
      <c r="U208" s="244"/>
      <c r="V208" s="244"/>
      <c r="W208" s="244"/>
      <c r="X208" s="244"/>
      <c r="Y208" s="244"/>
      <c r="Z208" s="244"/>
    </row>
  </sheetData>
  <sheetProtection formatCells="0" formatColumns="0" formatRows="0" insertColumns="0" insertRows="0" insertHyperlinks="0" deleteColumns="0" deleteRows="0" sort="0" autoFilter="0" pivotTables="0"/>
  <mergeCells count="90">
    <mergeCell ref="A1:L1"/>
    <mergeCell ref="A2:L2"/>
    <mergeCell ref="A4:A5"/>
    <mergeCell ref="B4:B5"/>
    <mergeCell ref="C4:F4"/>
    <mergeCell ref="G4:J4"/>
    <mergeCell ref="K4:K5"/>
    <mergeCell ref="L4:L5"/>
    <mergeCell ref="N7:N16"/>
    <mergeCell ref="O7:O8"/>
    <mergeCell ref="P7:P10"/>
    <mergeCell ref="P12:P14"/>
    <mergeCell ref="N19:N48"/>
    <mergeCell ref="O22:O23"/>
    <mergeCell ref="P22:P23"/>
    <mergeCell ref="P32:P34"/>
    <mergeCell ref="N58:N64"/>
    <mergeCell ref="P58:P64"/>
    <mergeCell ref="A68:A69"/>
    <mergeCell ref="B68:B69"/>
    <mergeCell ref="C68:C69"/>
    <mergeCell ref="D68:D69"/>
    <mergeCell ref="E68:E69"/>
    <mergeCell ref="F68:F69"/>
    <mergeCell ref="P68:P69"/>
    <mergeCell ref="Q68:Q69"/>
    <mergeCell ref="N71:N78"/>
    <mergeCell ref="M72:M73"/>
    <mergeCell ref="O72:O73"/>
    <mergeCell ref="L74:L75"/>
    <mergeCell ref="M74:M75"/>
    <mergeCell ref="O74:O76"/>
    <mergeCell ref="Q102:Q103"/>
    <mergeCell ref="N82:N94"/>
    <mergeCell ref="O83:O84"/>
    <mergeCell ref="P83:P86"/>
    <mergeCell ref="M90:M91"/>
    <mergeCell ref="P90:P91"/>
    <mergeCell ref="O91:O93"/>
    <mergeCell ref="N97:N101"/>
    <mergeCell ref="M98:M100"/>
    <mergeCell ref="P98:P100"/>
    <mergeCell ref="N102:N103"/>
    <mergeCell ref="P102:P103"/>
    <mergeCell ref="B117:B119"/>
    <mergeCell ref="C117:C119"/>
    <mergeCell ref="D117:D119"/>
    <mergeCell ref="E117:E119"/>
    <mergeCell ref="F117:F119"/>
    <mergeCell ref="N104:N105"/>
    <mergeCell ref="P104:P105"/>
    <mergeCell ref="Q104:Q105"/>
    <mergeCell ref="N106:N119"/>
    <mergeCell ref="P115:P118"/>
    <mergeCell ref="G117:G119"/>
    <mergeCell ref="H117:H119"/>
    <mergeCell ref="I117:I119"/>
    <mergeCell ref="J117:J119"/>
    <mergeCell ref="K117:K119"/>
    <mergeCell ref="P170:P171"/>
    <mergeCell ref="Q170:Q171"/>
    <mergeCell ref="N148:N160"/>
    <mergeCell ref="P148:P154"/>
    <mergeCell ref="P121:P122"/>
    <mergeCell ref="Q121:Q122"/>
    <mergeCell ref="N123:N125"/>
    <mergeCell ref="P123:P125"/>
    <mergeCell ref="Q123:Q125"/>
    <mergeCell ref="P126:P130"/>
    <mergeCell ref="Q126:Q130"/>
    <mergeCell ref="N121:N122"/>
    <mergeCell ref="N131:N136"/>
    <mergeCell ref="P131:P136"/>
    <mergeCell ref="Q131:Q136"/>
    <mergeCell ref="P173:P176"/>
    <mergeCell ref="A181:B181"/>
    <mergeCell ref="R131:R136"/>
    <mergeCell ref="P143:P145"/>
    <mergeCell ref="A197:B197"/>
    <mergeCell ref="N161:N164"/>
    <mergeCell ref="P161:P168"/>
    <mergeCell ref="O164:O166"/>
    <mergeCell ref="A170:A171"/>
    <mergeCell ref="B170:B171"/>
    <mergeCell ref="G170:G171"/>
    <mergeCell ref="H170:H171"/>
    <mergeCell ref="I170:I171"/>
    <mergeCell ref="J170:J171"/>
    <mergeCell ref="K170:K171"/>
    <mergeCell ref="N170:N171"/>
  </mergeCells>
  <pageMargins left="0.39370078740157483" right="0.18" top="0.78740157480314965" bottom="0.39370078740157483" header="0" footer="0"/>
  <pageSetup paperSize="9" scale="38" fitToHeight="0" orientation="landscape" r:id="rId1"/>
  <rowBreaks count="15" manualBreakCount="15">
    <brk id="16" max="11" man="1"/>
    <brk id="31" max="11" man="1"/>
    <brk id="46" max="11" man="1"/>
    <brk id="58" max="11" man="1"/>
    <brk id="70" max="11" man="1"/>
    <brk id="74" max="11" man="1"/>
    <brk id="87" max="11" man="1"/>
    <brk id="94" max="11" man="1"/>
    <brk id="102" max="11" man="1"/>
    <brk id="112" max="11" man="1"/>
    <brk id="119" max="11" man="1"/>
    <brk id="132" max="11" man="1"/>
    <brk id="146" max="11" man="1"/>
    <brk id="160" max="11" man="1"/>
    <brk id="17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118"/>
  <sheetViews>
    <sheetView tabSelected="1" view="pageBreakPreview" zoomScale="60" zoomScaleNormal="60" workbookViewId="0">
      <pane ySplit="5" topLeftCell="A6" activePane="bottomLeft" state="frozen"/>
      <selection pane="bottomLeft" activeCell="U57" sqref="U57"/>
    </sheetView>
  </sheetViews>
  <sheetFormatPr defaultColWidth="9.140625" defaultRowHeight="19.5"/>
  <cols>
    <col min="1" max="1" width="7.5703125" style="392" customWidth="1"/>
    <col min="2" max="2" width="36.7109375" style="392" customWidth="1"/>
    <col min="3" max="3" width="17.5703125" style="395" customWidth="1"/>
    <col min="4" max="4" width="17" style="395" customWidth="1"/>
    <col min="5" max="5" width="16.7109375" style="395" customWidth="1"/>
    <col min="6" max="6" width="19.28515625" style="396" customWidth="1"/>
    <col min="7" max="7" width="16.85546875" style="395" customWidth="1"/>
    <col min="8" max="8" width="18.140625" style="395" customWidth="1"/>
    <col min="9" max="9" width="18.85546875" style="395" customWidth="1"/>
    <col min="10" max="10" width="17.5703125" style="396" customWidth="1"/>
    <col min="11" max="11" width="20.85546875" style="516" customWidth="1"/>
    <col min="12" max="12" width="141.42578125" style="392" customWidth="1"/>
    <col min="13" max="13" width="17.140625" style="389" hidden="1" customWidth="1"/>
    <col min="14" max="14" width="18.7109375" style="390" hidden="1" customWidth="1"/>
    <col min="15" max="15" width="27.28515625" style="389" hidden="1" customWidth="1"/>
    <col min="16" max="16" width="29.7109375" style="550" hidden="1" customWidth="1"/>
    <col min="17" max="17" width="30.28515625" style="551" hidden="1" customWidth="1"/>
    <col min="18" max="18" width="29.5703125" style="391" hidden="1" customWidth="1"/>
    <col min="19" max="19" width="35.85546875" style="391" customWidth="1"/>
    <col min="20" max="20" width="14" style="391" customWidth="1"/>
    <col min="21" max="21" width="13.140625" style="391" customWidth="1"/>
    <col min="22" max="22" width="14.85546875" style="391" customWidth="1"/>
    <col min="23" max="23" width="21.85546875" style="391" customWidth="1"/>
    <col min="24" max="24" width="9.140625" style="391"/>
    <col min="25" max="25" width="11" style="391" customWidth="1"/>
    <col min="26" max="26" width="10.7109375" style="391" customWidth="1"/>
    <col min="27" max="29" width="9.140625" style="392"/>
    <col min="30" max="30" width="10.7109375" style="392" customWidth="1"/>
    <col min="31" max="34" width="9.140625" style="392"/>
    <col min="35" max="35" width="10.85546875" style="392" customWidth="1"/>
    <col min="36" max="36" width="13.85546875" style="392" customWidth="1"/>
    <col min="37" max="37" width="11.42578125" style="392" customWidth="1"/>
    <col min="38" max="39" width="9.140625" style="392"/>
    <col min="40" max="40" width="12.42578125" style="392" customWidth="1"/>
    <col min="41" max="69" width="9.140625" style="392"/>
    <col min="70" max="70" width="21.85546875" style="392" customWidth="1"/>
    <col min="71" max="16384" width="9.140625" style="392"/>
  </cols>
  <sheetData>
    <row r="1" spans="1:26" ht="33.75" customHeight="1">
      <c r="A1" s="670" t="s">
        <v>92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26" ht="34.5" customHeight="1">
      <c r="A2" s="670" t="s">
        <v>362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R2" s="393"/>
    </row>
    <row r="3" spans="1:26" ht="20.25" customHeight="1">
      <c r="A3" s="394"/>
      <c r="B3" s="394"/>
      <c r="K3" s="397"/>
      <c r="L3" s="398" t="s">
        <v>16</v>
      </c>
      <c r="R3" s="393"/>
      <c r="S3" s="393"/>
      <c r="T3" s="393"/>
    </row>
    <row r="4" spans="1:26" s="405" customFormat="1" ht="30" customHeight="1">
      <c r="A4" s="678" t="s">
        <v>17</v>
      </c>
      <c r="B4" s="678" t="s">
        <v>18</v>
      </c>
      <c r="C4" s="680" t="s">
        <v>19</v>
      </c>
      <c r="D4" s="681"/>
      <c r="E4" s="681"/>
      <c r="F4" s="682"/>
      <c r="G4" s="680" t="s">
        <v>0</v>
      </c>
      <c r="H4" s="681"/>
      <c r="I4" s="681"/>
      <c r="J4" s="682"/>
      <c r="K4" s="683" t="s">
        <v>355</v>
      </c>
      <c r="L4" s="678" t="s">
        <v>20</v>
      </c>
      <c r="M4" s="399"/>
      <c r="N4" s="400"/>
      <c r="O4" s="399"/>
      <c r="P4" s="401"/>
      <c r="Q4" s="402"/>
      <c r="R4" s="403"/>
      <c r="S4" s="403"/>
      <c r="T4" s="404"/>
      <c r="U4" s="404"/>
      <c r="V4" s="404"/>
      <c r="W4" s="404"/>
      <c r="X4" s="404"/>
      <c r="Y4" s="404"/>
      <c r="Z4" s="404"/>
    </row>
    <row r="5" spans="1:26" s="405" customFormat="1" ht="28.5" customHeight="1">
      <c r="A5" s="679"/>
      <c r="B5" s="679"/>
      <c r="C5" s="406" t="s">
        <v>21</v>
      </c>
      <c r="D5" s="406" t="s">
        <v>22</v>
      </c>
      <c r="E5" s="406" t="s">
        <v>23</v>
      </c>
      <c r="F5" s="406" t="s">
        <v>24</v>
      </c>
      <c r="G5" s="406" t="s">
        <v>21</v>
      </c>
      <c r="H5" s="406" t="s">
        <v>22</v>
      </c>
      <c r="I5" s="406" t="s">
        <v>23</v>
      </c>
      <c r="J5" s="406" t="s">
        <v>24</v>
      </c>
      <c r="K5" s="684"/>
      <c r="L5" s="679"/>
      <c r="M5" s="399"/>
      <c r="N5" s="400"/>
      <c r="O5" s="399"/>
      <c r="P5" s="401"/>
      <c r="Q5" s="402"/>
      <c r="R5" s="404"/>
      <c r="S5" s="403"/>
      <c r="T5" s="404"/>
      <c r="U5" s="404"/>
      <c r="V5" s="404"/>
      <c r="W5" s="404"/>
      <c r="X5" s="404"/>
      <c r="Y5" s="404"/>
      <c r="Z5" s="404"/>
    </row>
    <row r="6" spans="1:26" s="414" customFormat="1" ht="18.75" customHeight="1">
      <c r="A6" s="407">
        <v>1</v>
      </c>
      <c r="B6" s="408">
        <v>2</v>
      </c>
      <c r="C6" s="409">
        <v>3</v>
      </c>
      <c r="D6" s="409">
        <v>4</v>
      </c>
      <c r="E6" s="409">
        <v>5</v>
      </c>
      <c r="F6" s="409">
        <v>6</v>
      </c>
      <c r="G6" s="409">
        <v>7</v>
      </c>
      <c r="H6" s="409">
        <v>8</v>
      </c>
      <c r="I6" s="409">
        <v>9</v>
      </c>
      <c r="J6" s="409">
        <v>10</v>
      </c>
      <c r="K6" s="410">
        <v>11</v>
      </c>
      <c r="L6" s="408">
        <v>12</v>
      </c>
      <c r="M6" s="411"/>
      <c r="N6" s="412"/>
      <c r="O6" s="411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</row>
    <row r="7" spans="1:26" ht="117" customHeight="1">
      <c r="A7" s="531" t="s">
        <v>25</v>
      </c>
      <c r="B7" s="529" t="s">
        <v>90</v>
      </c>
      <c r="C7" s="561">
        <v>37744.400000000001</v>
      </c>
      <c r="D7" s="524">
        <v>7370</v>
      </c>
      <c r="E7" s="524">
        <v>4141.8</v>
      </c>
      <c r="F7" s="524">
        <f>E7+D7+C7</f>
        <v>49256.2</v>
      </c>
      <c r="G7" s="524">
        <v>4792.8999999999996</v>
      </c>
      <c r="H7" s="524">
        <v>1422.9</v>
      </c>
      <c r="I7" s="524">
        <v>89.5</v>
      </c>
      <c r="J7" s="524">
        <f>G7+H7+I7</f>
        <v>6305.2999999999993</v>
      </c>
      <c r="K7" s="556">
        <f>J7/F7*100</f>
        <v>12.801028093925233</v>
      </c>
      <c r="L7" s="388" t="s">
        <v>369</v>
      </c>
      <c r="M7" s="530">
        <f>124+19.3+165.3+19.3+120.9+200+182.6+220+220+183.4+183.4+120.9+111.8+2.3</f>
        <v>1873.2000000000003</v>
      </c>
      <c r="N7" s="685" t="e">
        <f>M7+#REF!+M8+M9+M10+M11+M12+M13</f>
        <v>#REF!</v>
      </c>
      <c r="O7" s="530">
        <v>0.7</v>
      </c>
      <c r="P7" s="688">
        <f>O7+O8+O10+O11+O12+O13+O9</f>
        <v>6305.3000000000011</v>
      </c>
      <c r="Q7" s="522">
        <f>313.6+0.9+89.5</f>
        <v>404</v>
      </c>
      <c r="R7" s="415">
        <f>J7-Q7</f>
        <v>5901.2999999999993</v>
      </c>
    </row>
    <row r="8" spans="1:26" ht="93" customHeight="1">
      <c r="A8" s="416"/>
      <c r="B8" s="417"/>
      <c r="C8" s="418"/>
      <c r="D8" s="419"/>
      <c r="E8" s="419"/>
      <c r="F8" s="419"/>
      <c r="G8" s="419"/>
      <c r="H8" s="419"/>
      <c r="I8" s="419"/>
      <c r="J8" s="419"/>
      <c r="K8" s="528"/>
      <c r="L8" s="562" t="s">
        <v>368</v>
      </c>
      <c r="M8" s="545">
        <f>486.3+2.1+203.8</f>
        <v>692.2</v>
      </c>
      <c r="N8" s="686"/>
      <c r="O8" s="545">
        <f>312.9+0.9+89.5</f>
        <v>403.29999999999995</v>
      </c>
      <c r="P8" s="689"/>
    </row>
    <row r="9" spans="1:26" ht="78" customHeight="1">
      <c r="A9" s="416"/>
      <c r="B9" s="417"/>
      <c r="C9" s="418"/>
      <c r="D9" s="419"/>
      <c r="E9" s="419"/>
      <c r="F9" s="419"/>
      <c r="G9" s="419"/>
      <c r="H9" s="419"/>
      <c r="I9" s="419"/>
      <c r="J9" s="419"/>
      <c r="K9" s="528"/>
      <c r="L9" s="426" t="s">
        <v>366</v>
      </c>
      <c r="M9" s="545">
        <v>30</v>
      </c>
      <c r="N9" s="686"/>
      <c r="O9" s="545">
        <v>532.5</v>
      </c>
      <c r="P9" s="552"/>
    </row>
    <row r="10" spans="1:26" ht="249" customHeight="1">
      <c r="A10" s="422"/>
      <c r="B10" s="423"/>
      <c r="C10" s="424"/>
      <c r="D10" s="425"/>
      <c r="E10" s="425"/>
      <c r="F10" s="419"/>
      <c r="G10" s="425"/>
      <c r="H10" s="425"/>
      <c r="I10" s="425"/>
      <c r="J10" s="419"/>
      <c r="K10" s="528"/>
      <c r="L10" s="426" t="s">
        <v>367</v>
      </c>
      <c r="M10" s="545">
        <f>4942.6+106+128.5+1407.2+951.4+64.6+90.4+3.2+4.5+156.4+146.1+10.2+3.3</f>
        <v>8014.4</v>
      </c>
      <c r="N10" s="686"/>
      <c r="O10" s="545">
        <f>1600.2+10.3+339.7+30.3+8.3+3+177+278.9+0.9</f>
        <v>2448.6000000000004</v>
      </c>
      <c r="P10" s="689">
        <f>O10+O11+O12</f>
        <v>3920.0000000000009</v>
      </c>
      <c r="R10" s="404"/>
    </row>
    <row r="11" spans="1:26" ht="45.75" customHeight="1">
      <c r="A11" s="422"/>
      <c r="B11" s="423"/>
      <c r="C11" s="424"/>
      <c r="D11" s="425"/>
      <c r="E11" s="425"/>
      <c r="F11" s="419"/>
      <c r="G11" s="425"/>
      <c r="H11" s="425"/>
      <c r="I11" s="425"/>
      <c r="J11" s="419"/>
      <c r="K11" s="528"/>
      <c r="L11" s="426" t="s">
        <v>364</v>
      </c>
      <c r="M11" s="545">
        <v>146.30000000000001</v>
      </c>
      <c r="N11" s="686"/>
      <c r="O11" s="545">
        <v>49.4</v>
      </c>
      <c r="P11" s="689"/>
    </row>
    <row r="12" spans="1:26" ht="92.25" customHeight="1">
      <c r="A12" s="422"/>
      <c r="B12" s="423"/>
      <c r="C12" s="424"/>
      <c r="D12" s="425"/>
      <c r="E12" s="425"/>
      <c r="F12" s="419"/>
      <c r="G12" s="425"/>
      <c r="H12" s="425"/>
      <c r="I12" s="425"/>
      <c r="J12" s="419"/>
      <c r="K12" s="528"/>
      <c r="L12" s="426" t="s">
        <v>365</v>
      </c>
      <c r="M12" s="545">
        <f>562.7+169.9+1453.2+23.2+3+102.8+28+5.5+0.2</f>
        <v>2348.5</v>
      </c>
      <c r="N12" s="686"/>
      <c r="O12" s="545">
        <f>98.8+2.4+29.8+1287.2+1.2+0.4+2.2</f>
        <v>1422.0000000000002</v>
      </c>
      <c r="P12" s="689"/>
      <c r="R12" s="404"/>
    </row>
    <row r="13" spans="1:26" ht="51" customHeight="1">
      <c r="A13" s="427"/>
      <c r="B13" s="423"/>
      <c r="C13" s="424"/>
      <c r="D13" s="527"/>
      <c r="E13" s="527"/>
      <c r="F13" s="525"/>
      <c r="G13" s="527"/>
      <c r="H13" s="527"/>
      <c r="I13" s="527"/>
      <c r="J13" s="525"/>
      <c r="K13" s="557"/>
      <c r="L13" s="563" t="s">
        <v>363</v>
      </c>
      <c r="M13" s="421">
        <v>7259</v>
      </c>
      <c r="N13" s="687"/>
      <c r="O13" s="421">
        <v>1448.8</v>
      </c>
      <c r="P13" s="548"/>
    </row>
    <row r="14" spans="1:26" ht="162" customHeight="1">
      <c r="A14" s="428" t="s">
        <v>26</v>
      </c>
      <c r="B14" s="429" t="s">
        <v>85</v>
      </c>
      <c r="C14" s="430">
        <v>2143</v>
      </c>
      <c r="D14" s="430">
        <v>1500</v>
      </c>
      <c r="E14" s="430"/>
      <c r="F14" s="430">
        <f>E14+D14+C14</f>
        <v>3643</v>
      </c>
      <c r="G14" s="430">
        <v>0</v>
      </c>
      <c r="H14" s="430">
        <v>0</v>
      </c>
      <c r="I14" s="430">
        <v>0</v>
      </c>
      <c r="J14" s="430">
        <f>SUM(G14:I14)</f>
        <v>0</v>
      </c>
      <c r="K14" s="431">
        <f>J14/F14*100</f>
        <v>0</v>
      </c>
      <c r="L14" s="564" t="s">
        <v>370</v>
      </c>
      <c r="P14" s="550">
        <f>J14-O14</f>
        <v>0</v>
      </c>
    </row>
    <row r="15" spans="1:26" ht="95.25" customHeight="1">
      <c r="A15" s="428" t="s">
        <v>27</v>
      </c>
      <c r="B15" s="433" t="s">
        <v>84</v>
      </c>
      <c r="C15" s="430">
        <f t="shared" ref="C15:J15" si="0">C16+C31+C34</f>
        <v>396274.4</v>
      </c>
      <c r="D15" s="430">
        <f t="shared" si="0"/>
        <v>816835.2</v>
      </c>
      <c r="E15" s="430">
        <f t="shared" si="0"/>
        <v>128679.4</v>
      </c>
      <c r="F15" s="430">
        <f t="shared" si="0"/>
        <v>1341789</v>
      </c>
      <c r="G15" s="430">
        <f t="shared" si="0"/>
        <v>82753.899999999994</v>
      </c>
      <c r="H15" s="430">
        <f t="shared" si="0"/>
        <v>178146.7</v>
      </c>
      <c r="I15" s="430">
        <f t="shared" si="0"/>
        <v>17300.3</v>
      </c>
      <c r="J15" s="430">
        <f t="shared" si="0"/>
        <v>278200.90000000002</v>
      </c>
      <c r="K15" s="431">
        <f>J15*100/F15</f>
        <v>20.733580317024511</v>
      </c>
      <c r="L15" s="434"/>
      <c r="O15" s="435"/>
      <c r="Q15" s="542" t="s">
        <v>404</v>
      </c>
      <c r="R15" s="543" t="s">
        <v>22</v>
      </c>
      <c r="S15" s="542" t="s">
        <v>21</v>
      </c>
    </row>
    <row r="16" spans="1:26" ht="152.25" customHeight="1">
      <c r="A16" s="436" t="s">
        <v>58</v>
      </c>
      <c r="B16" s="388" t="s">
        <v>33</v>
      </c>
      <c r="C16" s="565">
        <v>362445.5</v>
      </c>
      <c r="D16" s="565">
        <v>816751.1</v>
      </c>
      <c r="E16" s="565">
        <v>121841.9</v>
      </c>
      <c r="F16" s="566">
        <f>E16+D16+C16</f>
        <v>1301038.5</v>
      </c>
      <c r="G16" s="565">
        <v>77322.899999999994</v>
      </c>
      <c r="H16" s="565">
        <v>178146.7</v>
      </c>
      <c r="I16" s="565">
        <v>17300.3</v>
      </c>
      <c r="J16" s="566">
        <f>G16+H16+I16</f>
        <v>272769.90000000002</v>
      </c>
      <c r="K16" s="556">
        <f>J16*100/F16</f>
        <v>20.965551749621554</v>
      </c>
      <c r="L16" s="567" t="s">
        <v>403</v>
      </c>
      <c r="M16" s="530">
        <f>26980.6+43.6+157.3+9698.1+1438.9+583.6+2486.6+67.4+1200.4</f>
        <v>42656.5</v>
      </c>
      <c r="N16" s="690">
        <f>SUM(M16:M30)</f>
        <v>771598.41999999993</v>
      </c>
      <c r="O16" s="537">
        <f>11.132+8106.814+58.29+4430.937+415.2403+247.764+1269.018+269.018</f>
        <v>14808.213299999998</v>
      </c>
      <c r="P16" s="536">
        <f>O16+O17+O18+O19+O20+O21+O22+O23+O24+O25+O26+O27+O29+O30+O28</f>
        <v>272769.90000000002</v>
      </c>
      <c r="Q16" s="541">
        <f>J16-P16</f>
        <v>0</v>
      </c>
      <c r="R16" s="542">
        <f>32119.16</f>
        <v>32119.16</v>
      </c>
      <c r="S16" s="542"/>
    </row>
    <row r="17" spans="1:20" ht="83.25" customHeight="1">
      <c r="A17" s="422"/>
      <c r="B17" s="420"/>
      <c r="C17" s="437"/>
      <c r="D17" s="437"/>
      <c r="E17" s="437"/>
      <c r="F17" s="438"/>
      <c r="G17" s="437"/>
      <c r="H17" s="437"/>
      <c r="I17" s="437"/>
      <c r="J17" s="438"/>
      <c r="K17" s="528"/>
      <c r="L17" s="420" t="s">
        <v>389</v>
      </c>
      <c r="M17" s="545">
        <v>72.75</v>
      </c>
      <c r="N17" s="691"/>
      <c r="O17" s="538">
        <v>6.7000000000000002E-3</v>
      </c>
      <c r="P17" s="552"/>
    </row>
    <row r="18" spans="1:20" ht="150.75" customHeight="1">
      <c r="A18" s="439"/>
      <c r="B18" s="420"/>
      <c r="C18" s="437"/>
      <c r="D18" s="437"/>
      <c r="E18" s="437"/>
      <c r="F18" s="438"/>
      <c r="G18" s="437"/>
      <c r="H18" s="437"/>
      <c r="I18" s="437"/>
      <c r="J18" s="438"/>
      <c r="K18" s="528"/>
      <c r="L18" s="420" t="s">
        <v>394</v>
      </c>
      <c r="M18" s="545">
        <f>106+199.1+122.1+138.3+23.4+8.4+161.6+130+55+37.9+4+9.5+3.8+122.4+40+2510.2+86.5+68.7+35+154.2+13.6+597.8+1133.3+1410.6+5+5</f>
        <v>7181.4</v>
      </c>
      <c r="N18" s="691"/>
      <c r="O18" s="539">
        <f>110.41+8.8+281.49+30+150</f>
        <v>580.70000000000005</v>
      </c>
      <c r="P18" s="552"/>
    </row>
    <row r="19" spans="1:20" ht="118.5" customHeight="1">
      <c r="A19" s="439"/>
      <c r="B19" s="420"/>
      <c r="C19" s="437"/>
      <c r="D19" s="437"/>
      <c r="E19" s="437"/>
      <c r="F19" s="438"/>
      <c r="G19" s="437"/>
      <c r="H19" s="437"/>
      <c r="I19" s="437"/>
      <c r="J19" s="438"/>
      <c r="K19" s="528"/>
      <c r="L19" s="420" t="s">
        <v>395</v>
      </c>
      <c r="M19" s="545">
        <f>97856.7+35.25+1347.53+947.24+28.09</f>
        <v>100214.81</v>
      </c>
      <c r="N19" s="691"/>
      <c r="O19" s="538">
        <f>31330.14+7.94+781.08</f>
        <v>32119.16</v>
      </c>
      <c r="P19" s="552"/>
    </row>
    <row r="20" spans="1:20" ht="148.5" customHeight="1">
      <c r="A20" s="439"/>
      <c r="B20" s="420"/>
      <c r="C20" s="437"/>
      <c r="D20" s="437"/>
      <c r="E20" s="437"/>
      <c r="F20" s="438"/>
      <c r="G20" s="437"/>
      <c r="H20" s="437"/>
      <c r="I20" s="437"/>
      <c r="J20" s="438"/>
      <c r="K20" s="528"/>
      <c r="L20" s="420" t="s">
        <v>396</v>
      </c>
      <c r="M20" s="545">
        <f>37256.75+165.4+1576.31+37236.23+36.3+7690.44+4011.3+7496.32+302.86+10829.39</f>
        <v>106601.30000000002</v>
      </c>
      <c r="N20" s="691"/>
      <c r="O20" s="538">
        <f>14315.19+101.48+799.89+19494.96+21+2585.53+1641.93+3782.69+137.54+6086.32</f>
        <v>48966.53</v>
      </c>
      <c r="P20" s="552"/>
    </row>
    <row r="21" spans="1:20" ht="75.75" customHeight="1">
      <c r="A21" s="439"/>
      <c r="B21" s="420"/>
      <c r="C21" s="437"/>
      <c r="D21" s="437"/>
      <c r="E21" s="437"/>
      <c r="F21" s="438"/>
      <c r="G21" s="437"/>
      <c r="H21" s="437"/>
      <c r="I21" s="437"/>
      <c r="J21" s="438"/>
      <c r="K21" s="528"/>
      <c r="L21" s="420" t="s">
        <v>390</v>
      </c>
      <c r="M21" s="545">
        <f>34.78+10+145.96+116.13</f>
        <v>306.87</v>
      </c>
      <c r="N21" s="691"/>
      <c r="O21" s="538">
        <v>10</v>
      </c>
      <c r="P21" s="552"/>
    </row>
    <row r="22" spans="1:20" ht="409.6" customHeight="1">
      <c r="A22" s="439"/>
      <c r="B22" s="420"/>
      <c r="C22" s="437"/>
      <c r="D22" s="437"/>
      <c r="E22" s="437"/>
      <c r="F22" s="438"/>
      <c r="G22" s="437"/>
      <c r="H22" s="437"/>
      <c r="I22" s="437"/>
      <c r="J22" s="438"/>
      <c r="K22" s="440"/>
      <c r="L22" s="441" t="s">
        <v>430</v>
      </c>
      <c r="M22" s="545">
        <f>538.42+136+23.1+70+599.99+58+282.39+4+4+18+13+13+70+140+70+50+70+70+1202.4+70+70+70+199.87+383.88+1+4+8.5+15+24.5+25+38.5+45+55.8+29.7+575.13+585.97+570.62+200+549.28+157.35+19.04+44.12</f>
        <v>7174.56</v>
      </c>
      <c r="N22" s="691"/>
      <c r="O22" s="538">
        <f>58.25+96.21+46.67+140+350+5+95.45+124.7+150+150+145+150+52.1+89.3+49.57+26.2+22.88+13.5+0.9+235.23+11.12+10.75+9.04+92.64+64.69</f>
        <v>2189.2000000000003</v>
      </c>
      <c r="P22" s="535"/>
      <c r="Q22" s="522"/>
      <c r="R22" s="415"/>
      <c r="T22" s="415"/>
    </row>
    <row r="23" spans="1:20" s="391" customFormat="1" ht="108" customHeight="1">
      <c r="A23" s="439"/>
      <c r="B23" s="420"/>
      <c r="C23" s="437"/>
      <c r="D23" s="437"/>
      <c r="E23" s="437"/>
      <c r="F23" s="438"/>
      <c r="G23" s="437"/>
      <c r="H23" s="437"/>
      <c r="I23" s="437"/>
      <c r="J23" s="438"/>
      <c r="K23" s="440"/>
      <c r="L23" s="441" t="s">
        <v>397</v>
      </c>
      <c r="M23" s="545">
        <v>27288.2</v>
      </c>
      <c r="N23" s="691"/>
      <c r="O23" s="538">
        <v>9416.25</v>
      </c>
      <c r="P23" s="552"/>
      <c r="Q23" s="551"/>
    </row>
    <row r="24" spans="1:20" s="391" customFormat="1" ht="108.75" customHeight="1">
      <c r="A24" s="439"/>
      <c r="B24" s="420"/>
      <c r="C24" s="437"/>
      <c r="D24" s="437"/>
      <c r="E24" s="437"/>
      <c r="F24" s="438"/>
      <c r="G24" s="437"/>
      <c r="H24" s="437"/>
      <c r="I24" s="437"/>
      <c r="J24" s="438"/>
      <c r="K24" s="440"/>
      <c r="L24" s="441" t="s">
        <v>398</v>
      </c>
      <c r="M24" s="545">
        <f>410725.05+98.83+2757.79+5476.13+2317.14</f>
        <v>421374.94</v>
      </c>
      <c r="N24" s="691"/>
      <c r="O24" s="538">
        <f>139641.1+28.86+3195.58+509.71</f>
        <v>143375.24999999997</v>
      </c>
      <c r="P24" s="552"/>
      <c r="Q24" s="551"/>
    </row>
    <row r="25" spans="1:20" s="391" customFormat="1" ht="36" customHeight="1">
      <c r="A25" s="439"/>
      <c r="B25" s="420"/>
      <c r="C25" s="437"/>
      <c r="D25" s="437"/>
      <c r="E25" s="437"/>
      <c r="F25" s="438"/>
      <c r="G25" s="437"/>
      <c r="H25" s="437"/>
      <c r="I25" s="437"/>
      <c r="J25" s="438"/>
      <c r="K25" s="440"/>
      <c r="L25" s="568" t="s">
        <v>413</v>
      </c>
      <c r="M25" s="545">
        <f>1164.9+3143.7</f>
        <v>4308.6000000000004</v>
      </c>
      <c r="N25" s="691"/>
      <c r="O25" s="538">
        <f>612.07+1839.03</f>
        <v>2451.1</v>
      </c>
      <c r="P25" s="552"/>
      <c r="Q25" s="551"/>
    </row>
    <row r="26" spans="1:20" s="391" customFormat="1" ht="55.5" customHeight="1">
      <c r="A26" s="439"/>
      <c r="B26" s="420"/>
      <c r="C26" s="437"/>
      <c r="D26" s="437"/>
      <c r="E26" s="437"/>
      <c r="F26" s="438"/>
      <c r="G26" s="437"/>
      <c r="H26" s="437"/>
      <c r="I26" s="437"/>
      <c r="J26" s="438"/>
      <c r="K26" s="440"/>
      <c r="L26" s="569" t="s">
        <v>414</v>
      </c>
      <c r="M26" s="545">
        <f>207.75+2056.75+18510.7</f>
        <v>20775.2</v>
      </c>
      <c r="N26" s="691"/>
      <c r="O26" s="538">
        <f>81.52+806.98+7262.8</f>
        <v>8151.3</v>
      </c>
      <c r="P26" s="552"/>
      <c r="Q26" s="551"/>
    </row>
    <row r="27" spans="1:20" s="391" customFormat="1" ht="75.75" customHeight="1">
      <c r="A27" s="443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41" t="s">
        <v>399</v>
      </c>
      <c r="M27" s="444">
        <f>7699.24+41.88+3+324.29+235.47+3.9+105.98+122.09</f>
        <v>8535.8499999999985</v>
      </c>
      <c r="N27" s="691"/>
      <c r="O27" s="538">
        <f>2421.2+9.82+3.06+209.5+23.82</f>
        <v>2667.4</v>
      </c>
      <c r="P27" s="552"/>
      <c r="Q27" s="551"/>
    </row>
    <row r="28" spans="1:20" s="391" customFormat="1" ht="105" customHeight="1">
      <c r="A28" s="443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41" t="s">
        <v>400</v>
      </c>
      <c r="M28" s="444">
        <f>20902.69+77.99+6.7+408.7+893.73+1030.36+7.39+187.57+368.06</f>
        <v>23883.190000000002</v>
      </c>
      <c r="N28" s="691"/>
      <c r="O28" s="538">
        <f>6347.27+22.65+244.55+69.29+175.03+1.45+266.32</f>
        <v>7126.5599999999995</v>
      </c>
      <c r="P28" s="552"/>
      <c r="Q28" s="551"/>
    </row>
    <row r="29" spans="1:20" s="391" customFormat="1" ht="93" customHeight="1">
      <c r="A29" s="443"/>
      <c r="B29" s="420"/>
      <c r="C29" s="437"/>
      <c r="D29" s="437"/>
      <c r="E29" s="437"/>
      <c r="F29" s="438"/>
      <c r="G29" s="437"/>
      <c r="H29" s="437"/>
      <c r="I29" s="437"/>
      <c r="J29" s="438"/>
      <c r="K29" s="440"/>
      <c r="L29" s="441" t="s">
        <v>402</v>
      </c>
      <c r="M29" s="545">
        <f>29.75+247.5</f>
        <v>277.25</v>
      </c>
      <c r="N29" s="691"/>
      <c r="O29" s="538">
        <f>265.7+2+7.8+5.2</f>
        <v>280.7</v>
      </c>
      <c r="P29" s="552"/>
      <c r="Q29" s="551"/>
    </row>
    <row r="30" spans="1:20" s="391" customFormat="1" ht="90.75" customHeight="1">
      <c r="A30" s="443"/>
      <c r="B30" s="420"/>
      <c r="C30" s="437"/>
      <c r="D30" s="437"/>
      <c r="E30" s="437"/>
      <c r="F30" s="438"/>
      <c r="G30" s="437"/>
      <c r="H30" s="437"/>
      <c r="I30" s="437"/>
      <c r="J30" s="438"/>
      <c r="K30" s="447"/>
      <c r="L30" s="445" t="s">
        <v>401</v>
      </c>
      <c r="M30" s="448">
        <f>94.7+94.7+94.7+284.1+94.7+94.7+94.7+94.7</f>
        <v>947.00000000000023</v>
      </c>
      <c r="N30" s="449"/>
      <c r="O30" s="540">
        <f>621.25+6.28</f>
        <v>627.53</v>
      </c>
      <c r="P30" s="548"/>
      <c r="Q30" s="551"/>
    </row>
    <row r="31" spans="1:20" s="391" customFormat="1" ht="125.25" customHeight="1">
      <c r="A31" s="436" t="s">
        <v>59</v>
      </c>
      <c r="B31" s="388" t="s">
        <v>1</v>
      </c>
      <c r="C31" s="526">
        <v>32513.9</v>
      </c>
      <c r="D31" s="526">
        <v>84.1</v>
      </c>
      <c r="E31" s="526">
        <v>6837.5</v>
      </c>
      <c r="F31" s="524">
        <f>E31+D31+C31</f>
        <v>39435.5</v>
      </c>
      <c r="G31" s="526">
        <v>5299.5</v>
      </c>
      <c r="H31" s="526"/>
      <c r="I31" s="526"/>
      <c r="J31" s="524">
        <f>I31+H31+G31</f>
        <v>5299.5</v>
      </c>
      <c r="K31" s="556">
        <f>J31*100/F31</f>
        <v>13.438399411697581</v>
      </c>
      <c r="L31" s="420" t="s">
        <v>393</v>
      </c>
      <c r="M31" s="530">
        <f>10247+34.2+199.5+108+68.6+7.2+69.2</f>
        <v>10733.700000000003</v>
      </c>
      <c r="N31" s="692" t="e">
        <f>M31+#REF!+#REF!+M32+M33+#REF!</f>
        <v>#REF!</v>
      </c>
      <c r="O31" s="451">
        <f>3754.45+10.09+99.49+16.82+4.84+0.77+30.15</f>
        <v>3916.61</v>
      </c>
      <c r="P31" s="694">
        <f>O31+O32+O33</f>
        <v>5299.5</v>
      </c>
      <c r="Q31" s="452"/>
      <c r="R31" s="442"/>
    </row>
    <row r="32" spans="1:20" s="391" customFormat="1" ht="159" customHeight="1">
      <c r="A32" s="443"/>
      <c r="B32" s="420"/>
      <c r="C32" s="425"/>
      <c r="D32" s="425"/>
      <c r="E32" s="425"/>
      <c r="F32" s="419"/>
      <c r="G32" s="425"/>
      <c r="H32" s="425"/>
      <c r="I32" s="425"/>
      <c r="J32" s="419"/>
      <c r="K32" s="528"/>
      <c r="L32" s="420" t="s">
        <v>426</v>
      </c>
      <c r="M32" s="545">
        <f>47+45+154.4</f>
        <v>246.4</v>
      </c>
      <c r="N32" s="691"/>
      <c r="O32" s="545">
        <f>479.52+3.71+1+5+0.5+1+0.5</f>
        <v>491.22999999999996</v>
      </c>
      <c r="P32" s="695"/>
      <c r="Q32" s="551"/>
    </row>
    <row r="33" spans="1:18" s="391" customFormat="1" ht="129" customHeight="1">
      <c r="A33" s="453"/>
      <c r="B33" s="454"/>
      <c r="C33" s="527"/>
      <c r="D33" s="455"/>
      <c r="E33" s="425"/>
      <c r="F33" s="419"/>
      <c r="G33" s="425"/>
      <c r="H33" s="425"/>
      <c r="I33" s="425"/>
      <c r="J33" s="419"/>
      <c r="K33" s="557"/>
      <c r="L33" s="420" t="s">
        <v>392</v>
      </c>
      <c r="M33" s="421">
        <v>4175.8999999999996</v>
      </c>
      <c r="N33" s="693"/>
      <c r="O33" s="421">
        <f>864.46+27.2</f>
        <v>891.66000000000008</v>
      </c>
      <c r="P33" s="696"/>
      <c r="Q33" s="551"/>
    </row>
    <row r="34" spans="1:18" s="391" customFormat="1" ht="149.25" customHeight="1">
      <c r="A34" s="456" t="s">
        <v>60</v>
      </c>
      <c r="B34" s="457" t="s">
        <v>36</v>
      </c>
      <c r="C34" s="458">
        <v>1315</v>
      </c>
      <c r="D34" s="570"/>
      <c r="E34" s="458"/>
      <c r="F34" s="430">
        <f>E34+D34+C34</f>
        <v>1315</v>
      </c>
      <c r="G34" s="458">
        <v>131.5</v>
      </c>
      <c r="H34" s="458"/>
      <c r="I34" s="458"/>
      <c r="J34" s="430">
        <f>I34+H34+G34</f>
        <v>131.5</v>
      </c>
      <c r="K34" s="431">
        <f>J34*100/F34</f>
        <v>10</v>
      </c>
      <c r="L34" s="388" t="s">
        <v>391</v>
      </c>
      <c r="M34" s="459">
        <f>1.1+1+15.3+25.9+33.1+20+7.5+8+21.3+39.4+0.5+8.9</f>
        <v>182.00000000000003</v>
      </c>
      <c r="N34" s="390"/>
      <c r="O34" s="389">
        <f>33+66+32.5</f>
        <v>131.5</v>
      </c>
      <c r="P34" s="550"/>
      <c r="Q34" s="551"/>
    </row>
    <row r="35" spans="1:18" s="391" customFormat="1" ht="185.25" customHeight="1">
      <c r="A35" s="531" t="s">
        <v>28</v>
      </c>
      <c r="B35" s="555" t="s">
        <v>83</v>
      </c>
      <c r="C35" s="524">
        <v>6704.5</v>
      </c>
      <c r="D35" s="524">
        <v>384.6</v>
      </c>
      <c r="E35" s="526"/>
      <c r="F35" s="561">
        <f>E35+D35+C35</f>
        <v>7089.1</v>
      </c>
      <c r="G35" s="524">
        <v>1659.1</v>
      </c>
      <c r="H35" s="524"/>
      <c r="I35" s="524"/>
      <c r="J35" s="524">
        <f>I35+H35+G35</f>
        <v>1659.1</v>
      </c>
      <c r="K35" s="556">
        <f>J35*100/F35</f>
        <v>23.403535004443441</v>
      </c>
      <c r="L35" s="388" t="s">
        <v>374</v>
      </c>
      <c r="M35" s="460">
        <f>3822.7+32.8+14+40.9</f>
        <v>3910.4</v>
      </c>
      <c r="N35" s="461"/>
      <c r="O35" s="530">
        <f>1385.1+274</f>
        <v>1659.1</v>
      </c>
      <c r="P35" s="549"/>
      <c r="Q35" s="547"/>
    </row>
    <row r="36" spans="1:18" s="391" customFormat="1" ht="78">
      <c r="A36" s="531" t="s">
        <v>29</v>
      </c>
      <c r="B36" s="462" t="s">
        <v>82</v>
      </c>
      <c r="C36" s="430">
        <f t="shared" ref="C36:J36" si="1">C37+C39+C44+C48+C50</f>
        <v>154104.09999999998</v>
      </c>
      <c r="D36" s="430">
        <f t="shared" si="1"/>
        <v>609.70000000000005</v>
      </c>
      <c r="E36" s="430">
        <f t="shared" si="1"/>
        <v>221.9</v>
      </c>
      <c r="F36" s="430">
        <f t="shared" si="1"/>
        <v>154935.69999999998</v>
      </c>
      <c r="G36" s="525">
        <f t="shared" si="1"/>
        <v>28273.1</v>
      </c>
      <c r="H36" s="525">
        <f t="shared" si="1"/>
        <v>89</v>
      </c>
      <c r="I36" s="525">
        <f t="shared" si="1"/>
        <v>0</v>
      </c>
      <c r="J36" s="525">
        <f t="shared" si="1"/>
        <v>28362.1</v>
      </c>
      <c r="K36" s="557">
        <f>J36*100/F36</f>
        <v>18.305722954748326</v>
      </c>
      <c r="L36" s="454"/>
      <c r="M36" s="389"/>
      <c r="N36" s="390"/>
      <c r="O36" s="389"/>
      <c r="P36" s="550"/>
      <c r="Q36" s="551"/>
    </row>
    <row r="37" spans="1:18" s="391" customFormat="1" ht="353.25" customHeight="1">
      <c r="A37" s="456" t="s">
        <v>61</v>
      </c>
      <c r="B37" s="463" t="s">
        <v>3</v>
      </c>
      <c r="C37" s="458">
        <v>35211</v>
      </c>
      <c r="D37" s="458"/>
      <c r="E37" s="458"/>
      <c r="F37" s="430">
        <f>E37+D37+C37</f>
        <v>35211</v>
      </c>
      <c r="G37" s="458">
        <v>6583.2</v>
      </c>
      <c r="H37" s="458"/>
      <c r="I37" s="458"/>
      <c r="J37" s="430">
        <f>I37+H37+G37</f>
        <v>6583.2</v>
      </c>
      <c r="K37" s="431">
        <f>J37*100/F37</f>
        <v>18.696430092868706</v>
      </c>
      <c r="L37" s="432" t="s">
        <v>409</v>
      </c>
      <c r="M37" s="530">
        <f>10320.32+2957.91+31.2+3.5+63.39+1642.51+215.53+267.9+11.3+196.35+19.45+199+0.4+12.96+0.25+137.03</f>
        <v>16079</v>
      </c>
      <c r="N37" s="692" t="e">
        <f>M37+M38+#REF!+#REF!+#REF!</f>
        <v>#REF!</v>
      </c>
      <c r="O37" s="530">
        <f>3421.2+788.1+13.98+414.98+54.68+159.89+49.35+0.9+66.58+5.91+5.18+1.92+1330.53</f>
        <v>6313.2000000000007</v>
      </c>
      <c r="P37" s="546">
        <f>O37+O38</f>
        <v>6583.2000000000007</v>
      </c>
      <c r="Q37" s="522">
        <f>J37-P37</f>
        <v>0</v>
      </c>
    </row>
    <row r="38" spans="1:18" s="391" customFormat="1" ht="301.5" customHeight="1">
      <c r="A38" s="422"/>
      <c r="B38" s="441"/>
      <c r="C38" s="425"/>
      <c r="D38" s="425"/>
      <c r="E38" s="425"/>
      <c r="F38" s="419"/>
      <c r="G38" s="425"/>
      <c r="H38" s="425"/>
      <c r="I38" s="425"/>
      <c r="J38" s="419"/>
      <c r="K38" s="528"/>
      <c r="L38" s="420" t="s">
        <v>424</v>
      </c>
      <c r="M38" s="544">
        <f>1.5+27.08+10+35.78+384.4+34.9+8.1+9.84+4.31+150+4+7+3+6.65+6.96+37.52+4.42+9.9+17.92+3+10.45+25+10.39</f>
        <v>812.11999999999989</v>
      </c>
      <c r="N38" s="691"/>
      <c r="O38" s="421">
        <f>7+6+30+37.2+56.35+39.94+1.3+51.28+29.13+11.8</f>
        <v>270.00000000000006</v>
      </c>
      <c r="P38" s="548"/>
      <c r="Q38" s="553"/>
    </row>
    <row r="39" spans="1:18" s="391" customFormat="1" ht="307.5" customHeight="1">
      <c r="A39" s="436" t="s">
        <v>62</v>
      </c>
      <c r="B39" s="464" t="s">
        <v>2</v>
      </c>
      <c r="C39" s="526">
        <v>53972.9</v>
      </c>
      <c r="D39" s="526">
        <v>548.1</v>
      </c>
      <c r="E39" s="526">
        <v>221.9</v>
      </c>
      <c r="F39" s="524">
        <f>E39+D39+C39</f>
        <v>54742.9</v>
      </c>
      <c r="G39" s="526">
        <v>9133.2999999999993</v>
      </c>
      <c r="H39" s="526">
        <v>89</v>
      </c>
      <c r="I39" s="526"/>
      <c r="J39" s="524">
        <f>G39+I39+H39</f>
        <v>9222.2999999999993</v>
      </c>
      <c r="K39" s="556">
        <f>J39*100/F39</f>
        <v>16.846568230765996</v>
      </c>
      <c r="L39" s="558" t="s">
        <v>428</v>
      </c>
      <c r="M39" s="530">
        <f>17176.33+4967.85+144.27+916.2+165.06+77.19+95.4+9.45+79.96+1.72+229.17</f>
        <v>23862.600000000002</v>
      </c>
      <c r="N39" s="700">
        <f>SUM(M39:M43)</f>
        <v>31436.95</v>
      </c>
      <c r="O39" s="530">
        <f>4259.88+1037.3+42.25+376.32+24.51+157.1+17.81+8.28+241.08+40.11+0.57+428.05</f>
        <v>6633.26</v>
      </c>
      <c r="P39" s="560">
        <f>O39+O40+O41+O42+O43</f>
        <v>9222.2999999999993</v>
      </c>
      <c r="Q39" s="522">
        <f>J39-P39</f>
        <v>0</v>
      </c>
    </row>
    <row r="40" spans="1:18" s="391" customFormat="1" ht="96.75" customHeight="1">
      <c r="A40" s="422"/>
      <c r="B40" s="465"/>
      <c r="C40" s="425"/>
      <c r="D40" s="425"/>
      <c r="E40" s="425"/>
      <c r="F40" s="419"/>
      <c r="G40" s="425"/>
      <c r="H40" s="425"/>
      <c r="I40" s="425"/>
      <c r="J40" s="419"/>
      <c r="K40" s="528"/>
      <c r="L40" s="559" t="s">
        <v>411</v>
      </c>
      <c r="M40" s="545">
        <f>26.5+31.34+50+9.37+30+524.58+0.83+234.4+7.3+91.5+93.9+77.8+4.08+4.59+200+39.99+35.96+14.71+11.97+117.28</f>
        <v>1606.1</v>
      </c>
      <c r="N40" s="701"/>
      <c r="O40" s="545">
        <f>11.94+60+1264.96</f>
        <v>1336.9</v>
      </c>
      <c r="P40" s="552"/>
      <c r="Q40" s="551"/>
    </row>
    <row r="41" spans="1:18" s="391" customFormat="1" ht="78.75" customHeight="1">
      <c r="A41" s="422"/>
      <c r="B41" s="465"/>
      <c r="C41" s="425"/>
      <c r="D41" s="425"/>
      <c r="E41" s="425"/>
      <c r="F41" s="419"/>
      <c r="G41" s="425"/>
      <c r="H41" s="425"/>
      <c r="I41" s="425"/>
      <c r="J41" s="419"/>
      <c r="K41" s="528"/>
      <c r="L41" s="559" t="s">
        <v>425</v>
      </c>
      <c r="M41" s="545">
        <f>6.79+332.5</f>
        <v>339.29</v>
      </c>
      <c r="N41" s="701"/>
      <c r="O41" s="545">
        <f>1.8+89</f>
        <v>90.8</v>
      </c>
      <c r="P41" s="552"/>
      <c r="Q41" s="551"/>
    </row>
    <row r="42" spans="1:18" s="391" customFormat="1" ht="261.75" customHeight="1">
      <c r="A42" s="422"/>
      <c r="B42" s="465"/>
      <c r="C42" s="425"/>
      <c r="D42" s="425"/>
      <c r="E42" s="425"/>
      <c r="F42" s="419"/>
      <c r="G42" s="425"/>
      <c r="H42" s="425"/>
      <c r="I42" s="425"/>
      <c r="J42" s="419"/>
      <c r="K42" s="528"/>
      <c r="L42" s="559" t="s">
        <v>434</v>
      </c>
      <c r="M42" s="545">
        <f>1835.14+527.19+26.66+204.47+102.85+134.34+113.93+144.55+19.09+28.5+12.89+0.09+4.37+24.43+1.13</f>
        <v>3179.6299999999997</v>
      </c>
      <c r="N42" s="701"/>
      <c r="O42" s="545">
        <f>455.9+106.7+70.5+11.8+29.8+4.5+27.5+0.3+106.01</f>
        <v>813.00999999999988</v>
      </c>
      <c r="P42" s="552"/>
      <c r="Q42" s="551"/>
    </row>
    <row r="43" spans="1:18" s="391" customFormat="1" ht="207" customHeight="1">
      <c r="A43" s="422"/>
      <c r="B43" s="465"/>
      <c r="C43" s="425"/>
      <c r="D43" s="425"/>
      <c r="E43" s="425"/>
      <c r="F43" s="419"/>
      <c r="G43" s="425"/>
      <c r="H43" s="425"/>
      <c r="I43" s="425"/>
      <c r="J43" s="419"/>
      <c r="K43" s="528"/>
      <c r="L43" s="559" t="s">
        <v>432</v>
      </c>
      <c r="M43" s="544">
        <f>3.46+13+2.4+20+4.5+11+50+5.1+10.5+2.1+500+220+32.66+8.85+25+2+22+22+5.4+24.6+8.4+17.03+27.61+1299.96+4.9+23.2+8+5.21+10.6+9.25+50.6</f>
        <v>2449.3299999999995</v>
      </c>
      <c r="N43" s="701"/>
      <c r="O43" s="421">
        <f>3.2+3.5+13+4+10+3+300+11.63</f>
        <v>348.33</v>
      </c>
      <c r="P43" s="548"/>
      <c r="Q43" s="553"/>
    </row>
    <row r="44" spans="1:18" s="391" customFormat="1" ht="243" customHeight="1">
      <c r="A44" s="436" t="s">
        <v>63</v>
      </c>
      <c r="B44" s="466" t="s">
        <v>4</v>
      </c>
      <c r="C44" s="526">
        <v>26418.9</v>
      </c>
      <c r="D44" s="526">
        <v>61.6</v>
      </c>
      <c r="E44" s="526"/>
      <c r="F44" s="524">
        <f>E44+D44+C44</f>
        <v>26480.5</v>
      </c>
      <c r="G44" s="526">
        <v>4499.1000000000004</v>
      </c>
      <c r="H44" s="526"/>
      <c r="I44" s="526"/>
      <c r="J44" s="524">
        <f>G44+H44+I44</f>
        <v>4499.1000000000004</v>
      </c>
      <c r="K44" s="556">
        <f>J44/F44*100</f>
        <v>16.990238099733766</v>
      </c>
      <c r="L44" s="477" t="s">
        <v>412</v>
      </c>
      <c r="M44" s="530">
        <v>342.5</v>
      </c>
      <c r="N44" s="700">
        <f>M44+M46+M47</f>
        <v>1366</v>
      </c>
      <c r="O44" s="530">
        <f>2309.2+576.96+3.9+349.3+20.29+66.24+2.4+0.56+588.05</f>
        <v>3916.8999999999996</v>
      </c>
      <c r="P44" s="547">
        <f>O44+O45+O46+O47</f>
        <v>4499.0999999999995</v>
      </c>
      <c r="Q44" s="550">
        <f>J44-P44</f>
        <v>0</v>
      </c>
      <c r="R44" s="467">
        <f>J44-Q44</f>
        <v>4499.1000000000004</v>
      </c>
    </row>
    <row r="45" spans="1:18" s="391" customFormat="1" ht="90" customHeight="1">
      <c r="A45" s="422"/>
      <c r="B45" s="468"/>
      <c r="C45" s="425"/>
      <c r="D45" s="425"/>
      <c r="E45" s="425"/>
      <c r="F45" s="419"/>
      <c r="G45" s="425"/>
      <c r="H45" s="425"/>
      <c r="I45" s="425"/>
      <c r="J45" s="419"/>
      <c r="K45" s="528"/>
      <c r="L45" s="420" t="s">
        <v>410</v>
      </c>
      <c r="M45" s="545"/>
      <c r="N45" s="701"/>
      <c r="O45" s="545">
        <f>93.2+211</f>
        <v>304.2</v>
      </c>
      <c r="P45" s="552"/>
      <c r="Q45" s="551"/>
      <c r="R45" s="467"/>
    </row>
    <row r="46" spans="1:18" s="391" customFormat="1" ht="327.75" customHeight="1">
      <c r="A46" s="422"/>
      <c r="B46" s="468"/>
      <c r="C46" s="425"/>
      <c r="D46" s="425"/>
      <c r="E46" s="425"/>
      <c r="F46" s="419"/>
      <c r="G46" s="425"/>
      <c r="H46" s="425"/>
      <c r="I46" s="425"/>
      <c r="J46" s="419"/>
      <c r="K46" s="528"/>
      <c r="L46" s="571" t="s">
        <v>433</v>
      </c>
      <c r="M46" s="545">
        <f>10+15.25+20+7+113.65+24.6+7+6.1+30+3+7.2+6.1+11.19+3+6+15+3+7.72+15+5.6+96+33.16+109+4.23+10</f>
        <v>568.80000000000007</v>
      </c>
      <c r="N46" s="701"/>
      <c r="O46" s="545">
        <f>8.6+23+10+0.3+117+4+3.6+7+2.3+5.5</f>
        <v>181.3</v>
      </c>
      <c r="P46" s="545"/>
      <c r="Q46" s="551"/>
    </row>
    <row r="47" spans="1:18" s="391" customFormat="1" ht="183.75" customHeight="1">
      <c r="A47" s="422"/>
      <c r="B47" s="468"/>
      <c r="C47" s="425"/>
      <c r="D47" s="425"/>
      <c r="E47" s="425"/>
      <c r="F47" s="419"/>
      <c r="G47" s="425"/>
      <c r="H47" s="425"/>
      <c r="I47" s="425"/>
      <c r="J47" s="419"/>
      <c r="K47" s="528"/>
      <c r="L47" s="426" t="s">
        <v>423</v>
      </c>
      <c r="M47" s="421">
        <f>10.5+49.69+121+128.33+10.31+25+35.9+14+25.97+30+4</f>
        <v>454.69999999999993</v>
      </c>
      <c r="N47" s="702"/>
      <c r="O47" s="421">
        <f>30.7+15.99+39.9+10.11</f>
        <v>96.7</v>
      </c>
      <c r="P47" s="548"/>
      <c r="Q47" s="551"/>
    </row>
    <row r="48" spans="1:18" s="391" customFormat="1" ht="184.5" customHeight="1">
      <c r="A48" s="436" t="s">
        <v>64</v>
      </c>
      <c r="B48" s="469" t="s">
        <v>38</v>
      </c>
      <c r="C48" s="526">
        <v>35404.9</v>
      </c>
      <c r="D48" s="526"/>
      <c r="E48" s="526"/>
      <c r="F48" s="524">
        <f>E48+D48+C48</f>
        <v>35404.9</v>
      </c>
      <c r="G48" s="526">
        <v>7575.5</v>
      </c>
      <c r="H48" s="526"/>
      <c r="I48" s="526"/>
      <c r="J48" s="524">
        <f>I48+H48+G48</f>
        <v>7575.5</v>
      </c>
      <c r="K48" s="556">
        <f>J48*100/F48</f>
        <v>21.396755816285317</v>
      </c>
      <c r="L48" s="388" t="s">
        <v>407</v>
      </c>
      <c r="M48" s="470">
        <f>3961.47+1099.01+16.81+7.7+268.76+8+3.5</f>
        <v>5365.25</v>
      </c>
      <c r="N48" s="700">
        <f>M48+M49</f>
        <v>22512.099999999995</v>
      </c>
      <c r="O48" s="530">
        <f>1108.27+225.25+1.9+138.63+38.35+1.35</f>
        <v>1513.75</v>
      </c>
      <c r="P48" s="688">
        <f>O48+O49</f>
        <v>7575.5</v>
      </c>
      <c r="Q48" s="703">
        <f>J48-P48</f>
        <v>0</v>
      </c>
    </row>
    <row r="49" spans="1:19" s="391" customFormat="1" ht="194.25" customHeight="1">
      <c r="A49" s="427"/>
      <c r="B49" s="471"/>
      <c r="C49" s="527"/>
      <c r="D49" s="527"/>
      <c r="E49" s="527"/>
      <c r="F49" s="525"/>
      <c r="G49" s="527"/>
      <c r="H49" s="527"/>
      <c r="I49" s="527"/>
      <c r="J49" s="525"/>
      <c r="K49" s="557"/>
      <c r="L49" s="454" t="s">
        <v>408</v>
      </c>
      <c r="M49" s="448">
        <f>12954.75+3628.12+59.06+114.09+161.69+8.42+185.54+5.76+3.73+25.69</f>
        <v>17146.849999999995</v>
      </c>
      <c r="N49" s="702"/>
      <c r="O49" s="421">
        <f>4750.03+980.73+3.77+31.5+40.61+9.26+90.78+155.07</f>
        <v>6061.75</v>
      </c>
      <c r="P49" s="699"/>
      <c r="Q49" s="703"/>
    </row>
    <row r="50" spans="1:19" s="391" customFormat="1" ht="176.25" customHeight="1">
      <c r="A50" s="422" t="s">
        <v>65</v>
      </c>
      <c r="B50" s="468" t="s">
        <v>6</v>
      </c>
      <c r="C50" s="425">
        <v>3096.4</v>
      </c>
      <c r="D50" s="425"/>
      <c r="E50" s="419"/>
      <c r="F50" s="419">
        <f>E50+D50+C50</f>
        <v>3096.4</v>
      </c>
      <c r="G50" s="425">
        <v>482</v>
      </c>
      <c r="H50" s="425"/>
      <c r="I50" s="425"/>
      <c r="J50" s="419">
        <f>I50+H50+G50</f>
        <v>482</v>
      </c>
      <c r="K50" s="528">
        <f>J50*100/F50</f>
        <v>15.566464281100632</v>
      </c>
      <c r="L50" s="420" t="s">
        <v>406</v>
      </c>
      <c r="M50" s="530">
        <f>957.78+275.7+12.5+2.4+20+4.1+28.1+24.82</f>
        <v>1325.3999999999999</v>
      </c>
      <c r="N50" s="704">
        <f>M50+M51</f>
        <v>1616.3999999999999</v>
      </c>
      <c r="O50" s="530">
        <f>330.48+65.96+0.86+20.8+15+45.9</f>
        <v>479</v>
      </c>
      <c r="P50" s="688">
        <f>O50+O51</f>
        <v>482</v>
      </c>
      <c r="Q50" s="703">
        <f>J50-P50</f>
        <v>0</v>
      </c>
      <c r="R50" s="472"/>
    </row>
    <row r="51" spans="1:19" s="391" customFormat="1" ht="69.75" customHeight="1">
      <c r="A51" s="427"/>
      <c r="B51" s="473"/>
      <c r="C51" s="527"/>
      <c r="D51" s="474"/>
      <c r="E51" s="525"/>
      <c r="F51" s="525"/>
      <c r="G51" s="527"/>
      <c r="H51" s="527"/>
      <c r="I51" s="527"/>
      <c r="J51" s="525"/>
      <c r="K51" s="557"/>
      <c r="L51" s="454" t="s">
        <v>405</v>
      </c>
      <c r="M51" s="421">
        <f>14+2.4+54.98+38.74+28.8+11.2+50+31.8+37+21+1+0.08</f>
        <v>291</v>
      </c>
      <c r="N51" s="705"/>
      <c r="O51" s="475">
        <v>3</v>
      </c>
      <c r="P51" s="699"/>
      <c r="Q51" s="706"/>
    </row>
    <row r="52" spans="1:19" s="391" customFormat="1" ht="312" customHeight="1">
      <c r="A52" s="531" t="s">
        <v>31</v>
      </c>
      <c r="B52" s="476" t="s">
        <v>72</v>
      </c>
      <c r="C52" s="524">
        <v>60035.6</v>
      </c>
      <c r="D52" s="524">
        <v>300</v>
      </c>
      <c r="E52" s="524"/>
      <c r="F52" s="524">
        <f>E52+D52+C52</f>
        <v>60335.6</v>
      </c>
      <c r="G52" s="524">
        <v>9935.2999999999993</v>
      </c>
      <c r="H52" s="572"/>
      <c r="I52" s="524"/>
      <c r="J52" s="524">
        <f>I52+H52+G52</f>
        <v>9935.2999999999993</v>
      </c>
      <c r="K52" s="556">
        <f>J52*100/F52</f>
        <v>16.466729426739768</v>
      </c>
      <c r="L52" s="477" t="s">
        <v>387</v>
      </c>
      <c r="M52" s="530">
        <f>9.5+8.4+6.5+9.05+13.64+6</f>
        <v>53.09</v>
      </c>
      <c r="N52" s="700" t="e">
        <f>M52+M53+#REF!+M54+M55+#REF!+M57+#REF!+#REF!</f>
        <v>#REF!</v>
      </c>
      <c r="O52" s="530">
        <f>12.55+21.41+8.1+8.1+8.6+8.94+11+8.9+3.9+15.39+120.14</f>
        <v>227.03000000000003</v>
      </c>
      <c r="P52" s="707">
        <f>O52+O53+O54+O55+O56+O57</f>
        <v>9935.2999999999993</v>
      </c>
      <c r="Q52" s="534">
        <f>J52-P52</f>
        <v>0</v>
      </c>
      <c r="R52" s="550">
        <f>J52-Q52</f>
        <v>9935.2999999999993</v>
      </c>
      <c r="S52" s="478"/>
    </row>
    <row r="53" spans="1:19" s="391" customFormat="1" ht="294.75" customHeight="1">
      <c r="A53" s="416"/>
      <c r="B53" s="445"/>
      <c r="C53" s="419"/>
      <c r="D53" s="419"/>
      <c r="E53" s="425"/>
      <c r="F53" s="419"/>
      <c r="G53" s="419"/>
      <c r="H53" s="419"/>
      <c r="I53" s="419"/>
      <c r="J53" s="419"/>
      <c r="K53" s="528"/>
      <c r="L53" s="426" t="s">
        <v>388</v>
      </c>
      <c r="M53" s="545">
        <f>3039.83+865.66+4.9+60.7</f>
        <v>3971.0899999999997</v>
      </c>
      <c r="N53" s="701"/>
      <c r="O53" s="545">
        <f>5507.4+1301.61+1.22+177.72+48.89+125.65+9.38+14.43+55.19+0.3+664.09</f>
        <v>7905.88</v>
      </c>
      <c r="P53" s="708"/>
      <c r="Q53" s="551"/>
    </row>
    <row r="54" spans="1:19" s="391" customFormat="1" ht="84" customHeight="1">
      <c r="A54" s="416"/>
      <c r="B54" s="445"/>
      <c r="C54" s="419"/>
      <c r="D54" s="419"/>
      <c r="E54" s="425"/>
      <c r="F54" s="419"/>
      <c r="G54" s="419"/>
      <c r="H54" s="419"/>
      <c r="I54" s="419"/>
      <c r="J54" s="419"/>
      <c r="K54" s="528"/>
      <c r="L54" s="426" t="s">
        <v>415</v>
      </c>
      <c r="M54" s="545">
        <f>100+22.7</f>
        <v>122.7</v>
      </c>
      <c r="N54" s="701"/>
      <c r="O54" s="545">
        <f>100+41.08</f>
        <v>141.07999999999998</v>
      </c>
      <c r="P54" s="708"/>
      <c r="Q54" s="551"/>
    </row>
    <row r="55" spans="1:19" s="391" customFormat="1" ht="54" customHeight="1">
      <c r="A55" s="416"/>
      <c r="B55" s="445"/>
      <c r="C55" s="419"/>
      <c r="D55" s="419"/>
      <c r="E55" s="425"/>
      <c r="F55" s="419"/>
      <c r="G55" s="419"/>
      <c r="H55" s="419"/>
      <c r="I55" s="419"/>
      <c r="J55" s="419"/>
      <c r="K55" s="528"/>
      <c r="L55" s="426" t="s">
        <v>416</v>
      </c>
      <c r="M55" s="545">
        <f>47.67+1081.71+92.82</f>
        <v>1222.2</v>
      </c>
      <c r="N55" s="701"/>
      <c r="O55" s="545">
        <f>39+185.31</f>
        <v>224.31</v>
      </c>
      <c r="P55" s="708"/>
      <c r="Q55" s="551"/>
    </row>
    <row r="56" spans="1:19" s="391" customFormat="1" ht="153.75" customHeight="1">
      <c r="A56" s="416"/>
      <c r="B56" s="445"/>
      <c r="C56" s="419"/>
      <c r="D56" s="419"/>
      <c r="E56" s="425"/>
      <c r="F56" s="419"/>
      <c r="G56" s="419"/>
      <c r="H56" s="419"/>
      <c r="I56" s="419"/>
      <c r="J56" s="419"/>
      <c r="K56" s="528"/>
      <c r="L56" s="562" t="s">
        <v>417</v>
      </c>
      <c r="M56" s="545"/>
      <c r="N56" s="701"/>
      <c r="O56" s="545">
        <f>725.71+163.48+28.15+36.9+82.22</f>
        <v>1036.46</v>
      </c>
      <c r="P56" s="708"/>
      <c r="Q56" s="551"/>
    </row>
    <row r="57" spans="1:19" s="391" customFormat="1" ht="279.75" customHeight="1">
      <c r="A57" s="443"/>
      <c r="B57" s="445"/>
      <c r="C57" s="419"/>
      <c r="D57" s="419"/>
      <c r="E57" s="425"/>
      <c r="F57" s="419"/>
      <c r="G57" s="419"/>
      <c r="H57" s="419"/>
      <c r="I57" s="419"/>
      <c r="J57" s="419"/>
      <c r="K57" s="528"/>
      <c r="L57" s="420" t="s">
        <v>427</v>
      </c>
      <c r="M57" s="545">
        <f>12+4.56+14.5+30+25.35+9.45+21.76+12.97+8.16+10.29+4.14+8.5+4.05+12.15+6.4</f>
        <v>184.28</v>
      </c>
      <c r="N57" s="701"/>
      <c r="O57" s="421">
        <f>18.7+6.21+12.65+7.35+11.46+6.99+10.38+40+25.3+120+133.7+7.8</f>
        <v>400.54</v>
      </c>
      <c r="P57" s="709"/>
      <c r="Q57" s="551"/>
    </row>
    <row r="58" spans="1:19" s="391" customFormat="1" ht="71.25" customHeight="1">
      <c r="A58" s="521">
        <v>7</v>
      </c>
      <c r="B58" s="429" t="s">
        <v>73</v>
      </c>
      <c r="C58" s="430">
        <f t="shared" ref="C58:J58" si="2">C59+C61+C63</f>
        <v>13204.599999999999</v>
      </c>
      <c r="D58" s="430">
        <f t="shared" si="2"/>
        <v>118617</v>
      </c>
      <c r="E58" s="430">
        <f t="shared" si="2"/>
        <v>11754.5</v>
      </c>
      <c r="F58" s="430">
        <f t="shared" si="2"/>
        <v>143576.1</v>
      </c>
      <c r="G58" s="430">
        <f t="shared" si="2"/>
        <v>2411.6</v>
      </c>
      <c r="H58" s="430">
        <f t="shared" si="2"/>
        <v>13200.800000000001</v>
      </c>
      <c r="I58" s="430">
        <f t="shared" si="2"/>
        <v>0</v>
      </c>
      <c r="J58" s="430">
        <f t="shared" si="2"/>
        <v>15612.4</v>
      </c>
      <c r="K58" s="431">
        <f>J58*100/F58</f>
        <v>10.873954648440792</v>
      </c>
      <c r="L58" s="432"/>
      <c r="M58" s="389"/>
      <c r="N58" s="390"/>
      <c r="O58" s="389"/>
      <c r="P58" s="550"/>
      <c r="Q58" s="551"/>
    </row>
    <row r="59" spans="1:19" s="391" customFormat="1" ht="245.25" customHeight="1">
      <c r="A59" s="480" t="s">
        <v>32</v>
      </c>
      <c r="B59" s="469" t="s">
        <v>45</v>
      </c>
      <c r="C59" s="526">
        <v>8528.4</v>
      </c>
      <c r="D59" s="526">
        <v>7456</v>
      </c>
      <c r="E59" s="526"/>
      <c r="F59" s="524">
        <f>E59+D59+C59</f>
        <v>15984.4</v>
      </c>
      <c r="G59" s="526">
        <v>1502</v>
      </c>
      <c r="H59" s="526">
        <v>821.2</v>
      </c>
      <c r="I59" s="526"/>
      <c r="J59" s="524">
        <f>I59+H59+G59</f>
        <v>2323.1999999999998</v>
      </c>
      <c r="K59" s="556">
        <f>J59*100/F59</f>
        <v>14.534170816546132</v>
      </c>
      <c r="L59" s="573" t="s">
        <v>419</v>
      </c>
      <c r="M59" s="530">
        <f>5355.4+50+25.7+80+429</f>
        <v>5940.0999999999995</v>
      </c>
      <c r="N59" s="692">
        <f>M59+M60</f>
        <v>9880.9</v>
      </c>
      <c r="O59" s="530">
        <f>1408.2+15+8.8+70+265.4</f>
        <v>1767.4</v>
      </c>
      <c r="P59" s="697">
        <f>O59+O60</f>
        <v>2323.1999999999998</v>
      </c>
      <c r="Q59" s="688">
        <f>J59-P59</f>
        <v>0</v>
      </c>
    </row>
    <row r="60" spans="1:19" s="391" customFormat="1" ht="73.5" customHeight="1">
      <c r="A60" s="481"/>
      <c r="B60" s="471"/>
      <c r="C60" s="527"/>
      <c r="D60" s="527"/>
      <c r="E60" s="527"/>
      <c r="F60" s="525"/>
      <c r="G60" s="527"/>
      <c r="H60" s="527"/>
      <c r="I60" s="527"/>
      <c r="J60" s="525"/>
      <c r="K60" s="557"/>
      <c r="L60" s="574" t="s">
        <v>418</v>
      </c>
      <c r="M60" s="421">
        <v>3940.8</v>
      </c>
      <c r="N60" s="693"/>
      <c r="O60" s="421">
        <v>555.79999999999995</v>
      </c>
      <c r="P60" s="698"/>
      <c r="Q60" s="699"/>
    </row>
    <row r="61" spans="1:19" s="391" customFormat="1" ht="130.5" customHeight="1">
      <c r="A61" s="436" t="s">
        <v>34</v>
      </c>
      <c r="B61" s="469" t="s">
        <v>7</v>
      </c>
      <c r="C61" s="565"/>
      <c r="D61" s="565">
        <v>106991</v>
      </c>
      <c r="E61" s="565">
        <v>11754.5</v>
      </c>
      <c r="F61" s="566">
        <f>E61+D61+C61</f>
        <v>118745.5</v>
      </c>
      <c r="G61" s="565"/>
      <c r="H61" s="565">
        <v>12379.6</v>
      </c>
      <c r="I61" s="565"/>
      <c r="J61" s="566">
        <f>G61+H61+I61</f>
        <v>12379.6</v>
      </c>
      <c r="K61" s="482">
        <f>J61*100/F61</f>
        <v>10.425321380599685</v>
      </c>
      <c r="L61" s="477" t="s">
        <v>429</v>
      </c>
      <c r="M61" s="470">
        <f>11180+33559.8</f>
        <v>44739.8</v>
      </c>
      <c r="N61" s="692" t="e">
        <f>M61+#REF!+M62</f>
        <v>#REF!</v>
      </c>
      <c r="O61" s="530">
        <f>1529.9+39.9+26.4+8.5+27.3+12.1+62.6+2.5</f>
        <v>1709.2</v>
      </c>
      <c r="P61" s="697">
        <f>O61+O62</f>
        <v>12379.6</v>
      </c>
      <c r="Q61" s="688">
        <f>J61-P61</f>
        <v>0</v>
      </c>
    </row>
    <row r="62" spans="1:19" s="391" customFormat="1" ht="96" customHeight="1">
      <c r="A62" s="422"/>
      <c r="B62" s="471"/>
      <c r="C62" s="483"/>
      <c r="D62" s="483"/>
      <c r="E62" s="483"/>
      <c r="F62" s="484"/>
      <c r="G62" s="483"/>
      <c r="H62" s="483"/>
      <c r="I62" s="483"/>
      <c r="J62" s="484"/>
      <c r="K62" s="485"/>
      <c r="L62" s="563" t="s">
        <v>422</v>
      </c>
      <c r="M62" s="448">
        <f>22046.5+12798.3</f>
        <v>34844.800000000003</v>
      </c>
      <c r="N62" s="693"/>
      <c r="O62" s="421">
        <f>7493.2+3177.2</f>
        <v>10670.4</v>
      </c>
      <c r="P62" s="698"/>
      <c r="Q62" s="710"/>
    </row>
    <row r="63" spans="1:19" s="391" customFormat="1" ht="105.75" customHeight="1">
      <c r="A63" s="436" t="s">
        <v>35</v>
      </c>
      <c r="B63" s="466" t="s">
        <v>8</v>
      </c>
      <c r="C63" s="526">
        <v>4676.2</v>
      </c>
      <c r="D63" s="526">
        <v>4170</v>
      </c>
      <c r="E63" s="526"/>
      <c r="F63" s="524">
        <f>E63+D63+C63</f>
        <v>8846.2000000000007</v>
      </c>
      <c r="G63" s="526">
        <v>909.6</v>
      </c>
      <c r="H63" s="526"/>
      <c r="I63" s="526"/>
      <c r="J63" s="524">
        <f>I63+H63+G63</f>
        <v>909.6</v>
      </c>
      <c r="K63" s="556">
        <f>J63*100/F63</f>
        <v>10.282381135402771</v>
      </c>
      <c r="L63" s="426" t="s">
        <v>421</v>
      </c>
      <c r="M63" s="530">
        <f>2052.2+136+21.6+195.9</f>
        <v>2405.6999999999998</v>
      </c>
      <c r="N63" s="486" t="e">
        <f>M63+#REF!</f>
        <v>#REF!</v>
      </c>
      <c r="O63" s="530">
        <f>736.2+122.8+11.8+9.2</f>
        <v>880</v>
      </c>
      <c r="P63" s="697">
        <f>O63+O64</f>
        <v>909.6</v>
      </c>
      <c r="Q63" s="688">
        <f>J63-P63</f>
        <v>0</v>
      </c>
    </row>
    <row r="64" spans="1:19" s="391" customFormat="1" ht="69" customHeight="1">
      <c r="A64" s="422"/>
      <c r="B64" s="468"/>
      <c r="C64" s="425"/>
      <c r="D64" s="425"/>
      <c r="E64" s="425"/>
      <c r="F64" s="419"/>
      <c r="G64" s="425"/>
      <c r="H64" s="425"/>
      <c r="I64" s="425"/>
      <c r="J64" s="419"/>
      <c r="K64" s="528"/>
      <c r="L64" s="562" t="s">
        <v>420</v>
      </c>
      <c r="M64" s="545"/>
      <c r="N64" s="446"/>
      <c r="O64" s="421">
        <v>29.6</v>
      </c>
      <c r="P64" s="698"/>
      <c r="Q64" s="710"/>
    </row>
    <row r="65" spans="1:22" s="391" customFormat="1" ht="208.5" customHeight="1">
      <c r="A65" s="487" t="s">
        <v>37</v>
      </c>
      <c r="B65" s="555" t="s">
        <v>81</v>
      </c>
      <c r="C65" s="524">
        <v>24028.1</v>
      </c>
      <c r="D65" s="524">
        <v>1960</v>
      </c>
      <c r="E65" s="524"/>
      <c r="F65" s="524">
        <f>E65+D65+C65</f>
        <v>25988.1</v>
      </c>
      <c r="G65" s="524">
        <v>4981.8999999999996</v>
      </c>
      <c r="H65" s="524">
        <v>723.3</v>
      </c>
      <c r="I65" s="524"/>
      <c r="J65" s="524">
        <f>I65+H65+G65</f>
        <v>5705.2</v>
      </c>
      <c r="K65" s="556">
        <f>J65*100/F65</f>
        <v>21.95312469938164</v>
      </c>
      <c r="L65" s="464" t="s">
        <v>361</v>
      </c>
      <c r="M65" s="451">
        <f>9556.7+2688.8+172.6+1474.5+454.5+500.3+138.4+204.4+9+349.8+147.85+22.53</f>
        <v>15719.38</v>
      </c>
      <c r="N65" s="717">
        <f>M65+M66+M67+M69</f>
        <v>16259.9</v>
      </c>
      <c r="O65" s="530">
        <f>3497+697.2+54.59+62.5+136.49+103.4+81.33+70.03+55</f>
        <v>4757.5399999999991</v>
      </c>
      <c r="P65" s="697">
        <f>O65+O66+O67+O68+O69</f>
        <v>5705.1999999999989</v>
      </c>
      <c r="Q65" s="688">
        <f>J65-P65</f>
        <v>0</v>
      </c>
      <c r="R65" s="711"/>
    </row>
    <row r="66" spans="1:22" s="391" customFormat="1" ht="61.5" customHeight="1">
      <c r="A66" s="488"/>
      <c r="B66" s="479"/>
      <c r="C66" s="419"/>
      <c r="D66" s="419"/>
      <c r="E66" s="419"/>
      <c r="F66" s="419"/>
      <c r="G66" s="419"/>
      <c r="H66" s="419"/>
      <c r="I66" s="419"/>
      <c r="J66" s="419"/>
      <c r="K66" s="528"/>
      <c r="L66" s="575" t="s">
        <v>358</v>
      </c>
      <c r="M66" s="444">
        <v>113.5</v>
      </c>
      <c r="N66" s="718"/>
      <c r="O66" s="545">
        <v>52</v>
      </c>
      <c r="P66" s="703"/>
      <c r="Q66" s="720"/>
      <c r="R66" s="712"/>
    </row>
    <row r="67" spans="1:22" s="391" customFormat="1" ht="70.5" customHeight="1">
      <c r="A67" s="489"/>
      <c r="B67" s="479"/>
      <c r="C67" s="419"/>
      <c r="D67" s="419"/>
      <c r="E67" s="419"/>
      <c r="F67" s="419"/>
      <c r="G67" s="419"/>
      <c r="H67" s="419"/>
      <c r="I67" s="419"/>
      <c r="J67" s="419"/>
      <c r="K67" s="528"/>
      <c r="L67" s="575" t="s">
        <v>357</v>
      </c>
      <c r="M67" s="444">
        <f>271+50</f>
        <v>321</v>
      </c>
      <c r="N67" s="718"/>
      <c r="O67" s="545">
        <f>45+82.4</f>
        <v>127.4</v>
      </c>
      <c r="P67" s="703"/>
      <c r="Q67" s="720"/>
      <c r="R67" s="712"/>
    </row>
    <row r="68" spans="1:22" s="391" customFormat="1" ht="89.25" customHeight="1">
      <c r="A68" s="489"/>
      <c r="B68" s="479"/>
      <c r="C68" s="419"/>
      <c r="D68" s="419"/>
      <c r="E68" s="419"/>
      <c r="F68" s="419"/>
      <c r="G68" s="419"/>
      <c r="H68" s="419"/>
      <c r="I68" s="419"/>
      <c r="J68" s="419"/>
      <c r="K68" s="528"/>
      <c r="L68" s="479" t="s">
        <v>359</v>
      </c>
      <c r="M68" s="444"/>
      <c r="N68" s="718"/>
      <c r="O68" s="545">
        <v>723.34</v>
      </c>
      <c r="P68" s="703"/>
      <c r="Q68" s="720"/>
      <c r="R68" s="712"/>
    </row>
    <row r="69" spans="1:22" s="391" customFormat="1" ht="90.75" customHeight="1">
      <c r="A69" s="489"/>
      <c r="B69" s="479"/>
      <c r="C69" s="419"/>
      <c r="D69" s="419"/>
      <c r="E69" s="419"/>
      <c r="F69" s="419"/>
      <c r="G69" s="419"/>
      <c r="H69" s="419"/>
      <c r="I69" s="419"/>
      <c r="J69" s="419"/>
      <c r="K69" s="528"/>
      <c r="L69" s="479" t="s">
        <v>360</v>
      </c>
      <c r="M69" s="490">
        <f>94.12+11.9</f>
        <v>106.02000000000001</v>
      </c>
      <c r="N69" s="719"/>
      <c r="O69" s="421">
        <f>36.92+8</f>
        <v>44.92</v>
      </c>
      <c r="P69" s="698"/>
      <c r="Q69" s="710"/>
      <c r="R69" s="712"/>
    </row>
    <row r="70" spans="1:22" s="391" customFormat="1" ht="170.25" customHeight="1">
      <c r="A70" s="428" t="s">
        <v>39</v>
      </c>
      <c r="B70" s="491" t="s">
        <v>74</v>
      </c>
      <c r="C70" s="430">
        <v>25</v>
      </c>
      <c r="D70" s="430"/>
      <c r="E70" s="430"/>
      <c r="F70" s="430">
        <f>E70+D70+C70</f>
        <v>25</v>
      </c>
      <c r="G70" s="430">
        <v>0</v>
      </c>
      <c r="H70" s="430"/>
      <c r="I70" s="430"/>
      <c r="J70" s="430">
        <f>G70+H70+I70</f>
        <v>0</v>
      </c>
      <c r="K70" s="431">
        <f>J70/F70*100</f>
        <v>0</v>
      </c>
      <c r="L70" s="432"/>
      <c r="M70" s="459">
        <f>4+3+3</f>
        <v>10</v>
      </c>
      <c r="N70" s="390"/>
      <c r="O70" s="421"/>
      <c r="P70" s="548"/>
      <c r="Q70" s="551"/>
    </row>
    <row r="71" spans="1:22" s="391" customFormat="1" ht="123.75" customHeight="1">
      <c r="A71" s="492" t="s">
        <v>40</v>
      </c>
      <c r="B71" s="433" t="s">
        <v>75</v>
      </c>
      <c r="C71" s="430">
        <f t="shared" ref="C71:J71" si="3">C72+C73+C74+C75</f>
        <v>109</v>
      </c>
      <c r="D71" s="430">
        <f t="shared" si="3"/>
        <v>0</v>
      </c>
      <c r="E71" s="430">
        <f t="shared" si="3"/>
        <v>0</v>
      </c>
      <c r="F71" s="430">
        <f t="shared" si="3"/>
        <v>109</v>
      </c>
      <c r="G71" s="430">
        <f>G72+G73+G74+G75</f>
        <v>2</v>
      </c>
      <c r="H71" s="430">
        <f t="shared" si="3"/>
        <v>0</v>
      </c>
      <c r="I71" s="430">
        <f t="shared" si="3"/>
        <v>0</v>
      </c>
      <c r="J71" s="430">
        <f t="shared" si="3"/>
        <v>2</v>
      </c>
      <c r="K71" s="431">
        <f>J71*100/F71</f>
        <v>1.834862385321101</v>
      </c>
      <c r="L71" s="432"/>
      <c r="M71" s="389"/>
      <c r="N71" s="390"/>
      <c r="O71" s="389"/>
      <c r="P71" s="550"/>
      <c r="Q71" s="551"/>
    </row>
    <row r="72" spans="1:22" s="391" customFormat="1" ht="112.5" customHeight="1">
      <c r="A72" s="493" t="s">
        <v>66</v>
      </c>
      <c r="B72" s="494" t="s">
        <v>9</v>
      </c>
      <c r="C72" s="458">
        <v>17</v>
      </c>
      <c r="D72" s="458"/>
      <c r="E72" s="458"/>
      <c r="F72" s="430">
        <f>E72+D72+C72</f>
        <v>17</v>
      </c>
      <c r="G72" s="458">
        <v>1.5</v>
      </c>
      <c r="H72" s="458"/>
      <c r="I72" s="458"/>
      <c r="J72" s="430">
        <f>I72+H72+G72</f>
        <v>1.5</v>
      </c>
      <c r="K72" s="431">
        <f>J72*100/F72</f>
        <v>8.8235294117647065</v>
      </c>
      <c r="L72" s="564" t="s">
        <v>372</v>
      </c>
      <c r="M72" s="530">
        <v>1.8</v>
      </c>
      <c r="N72" s="532">
        <f>M72+M73+M74+M75</f>
        <v>74.100000000000009</v>
      </c>
      <c r="O72" s="530">
        <v>1.5</v>
      </c>
      <c r="P72" s="547">
        <f>O72+O73</f>
        <v>2</v>
      </c>
      <c r="Q72" s="551"/>
    </row>
    <row r="73" spans="1:22" s="391" customFormat="1" ht="61.5" customHeight="1">
      <c r="A73" s="495" t="s">
        <v>67</v>
      </c>
      <c r="B73" s="494" t="s">
        <v>48</v>
      </c>
      <c r="C73" s="458">
        <v>44</v>
      </c>
      <c r="D73" s="458"/>
      <c r="E73" s="458"/>
      <c r="F73" s="430">
        <f>E73+D73+C73</f>
        <v>44</v>
      </c>
      <c r="G73" s="458">
        <v>0.5</v>
      </c>
      <c r="H73" s="458"/>
      <c r="I73" s="458"/>
      <c r="J73" s="430">
        <f>I73+H73+G73</f>
        <v>0.5</v>
      </c>
      <c r="K73" s="431">
        <f>J73*100/F73</f>
        <v>1.1363636363636365</v>
      </c>
      <c r="L73" s="432" t="s">
        <v>371</v>
      </c>
      <c r="M73" s="545">
        <v>49.2</v>
      </c>
      <c r="N73" s="442"/>
      <c r="O73" s="545">
        <v>0.5</v>
      </c>
      <c r="P73" s="552"/>
      <c r="Q73" s="551"/>
    </row>
    <row r="74" spans="1:22" s="391" customFormat="1" ht="114.75" customHeight="1">
      <c r="A74" s="456" t="s">
        <v>68</v>
      </c>
      <c r="B74" s="463" t="s">
        <v>10</v>
      </c>
      <c r="C74" s="458">
        <v>45</v>
      </c>
      <c r="D74" s="458"/>
      <c r="E74" s="458"/>
      <c r="F74" s="430">
        <f>E74+D74+C74</f>
        <v>45</v>
      </c>
      <c r="G74" s="458">
        <v>0</v>
      </c>
      <c r="H74" s="458"/>
      <c r="I74" s="458"/>
      <c r="J74" s="430">
        <f>I74+H74+G74</f>
        <v>0</v>
      </c>
      <c r="K74" s="431">
        <f>J74*100/F74</f>
        <v>0</v>
      </c>
      <c r="L74" s="432"/>
      <c r="M74" s="421">
        <v>20.399999999999999</v>
      </c>
      <c r="N74" s="533"/>
      <c r="O74" s="545"/>
      <c r="P74" s="552"/>
      <c r="Q74" s="551"/>
    </row>
    <row r="75" spans="1:22" s="391" customFormat="1" ht="108" customHeight="1">
      <c r="A75" s="456" t="s">
        <v>69</v>
      </c>
      <c r="B75" s="463" t="s">
        <v>11</v>
      </c>
      <c r="C75" s="458">
        <v>3</v>
      </c>
      <c r="D75" s="458"/>
      <c r="E75" s="458"/>
      <c r="F75" s="430">
        <f>E75+D75+C75</f>
        <v>3</v>
      </c>
      <c r="G75" s="458">
        <v>0</v>
      </c>
      <c r="H75" s="458"/>
      <c r="I75" s="458"/>
      <c r="J75" s="430">
        <f>I75+H75+G75</f>
        <v>0</v>
      </c>
      <c r="K75" s="431">
        <f>J75*100/F75</f>
        <v>0</v>
      </c>
      <c r="L75" s="432"/>
      <c r="M75" s="389">
        <v>2.7</v>
      </c>
      <c r="N75" s="390"/>
      <c r="O75" s="421"/>
      <c r="P75" s="548"/>
      <c r="Q75" s="551"/>
    </row>
    <row r="76" spans="1:22" s="391" customFormat="1" ht="230.25" customHeight="1">
      <c r="A76" s="531" t="s">
        <v>41</v>
      </c>
      <c r="B76" s="476" t="s">
        <v>76</v>
      </c>
      <c r="C76" s="524">
        <v>2815.7</v>
      </c>
      <c r="D76" s="524">
        <v>2.5</v>
      </c>
      <c r="E76" s="524">
        <v>250</v>
      </c>
      <c r="F76" s="524">
        <f>E76+D76+C76</f>
        <v>3068.2</v>
      </c>
      <c r="G76" s="524">
        <v>513.29999999999995</v>
      </c>
      <c r="H76" s="524">
        <v>2.5</v>
      </c>
      <c r="I76" s="524">
        <v>250</v>
      </c>
      <c r="J76" s="524">
        <f>G76+I76+H76</f>
        <v>765.8</v>
      </c>
      <c r="K76" s="556">
        <f>J76/F76*100</f>
        <v>24.959259500684443</v>
      </c>
      <c r="L76" s="388" t="s">
        <v>435</v>
      </c>
      <c r="M76" s="530">
        <f>912.45+239.06+39.1+125.99+21.63+22.81+0.05+1.61</f>
        <v>1362.6999999999998</v>
      </c>
      <c r="N76" s="486" t="e">
        <f>M76+M77+#REF!</f>
        <v>#REF!</v>
      </c>
      <c r="O76" s="496">
        <f>254.99+64.92+74.91+39.51+21.95+8.24+0.36+43.22</f>
        <v>508.1</v>
      </c>
      <c r="P76" s="688">
        <f>O76+O77</f>
        <v>765.8</v>
      </c>
      <c r="Q76" s="551"/>
      <c r="R76" s="467"/>
      <c r="S76" s="467"/>
      <c r="T76" s="467"/>
      <c r="U76" s="467"/>
      <c r="V76" s="467"/>
    </row>
    <row r="77" spans="1:22" s="391" customFormat="1" ht="83.25" customHeight="1">
      <c r="A77" s="523"/>
      <c r="B77" s="450"/>
      <c r="C77" s="450"/>
      <c r="D77" s="450"/>
      <c r="E77" s="525"/>
      <c r="F77" s="525"/>
      <c r="G77" s="525"/>
      <c r="H77" s="525"/>
      <c r="I77" s="525"/>
      <c r="J77" s="525"/>
      <c r="K77" s="557"/>
      <c r="L77" s="563" t="s">
        <v>386</v>
      </c>
      <c r="M77" s="421">
        <f>2.8+29.7+29.3</f>
        <v>61.8</v>
      </c>
      <c r="N77" s="449"/>
      <c r="O77" s="490">
        <f>5.2+2.5+250</f>
        <v>257.7</v>
      </c>
      <c r="P77" s="699"/>
      <c r="Q77" s="551"/>
    </row>
    <row r="78" spans="1:22" s="391" customFormat="1" ht="94.5" customHeight="1">
      <c r="A78" s="492" t="s">
        <v>42</v>
      </c>
      <c r="B78" s="433" t="s">
        <v>77</v>
      </c>
      <c r="C78" s="524">
        <f t="shared" ref="C78:J78" si="4">C79+C81</f>
        <v>58786.8</v>
      </c>
      <c r="D78" s="524">
        <f t="shared" si="4"/>
        <v>20000</v>
      </c>
      <c r="E78" s="524">
        <f t="shared" si="4"/>
        <v>0</v>
      </c>
      <c r="F78" s="524">
        <f t="shared" si="4"/>
        <v>78786.799999999988</v>
      </c>
      <c r="G78" s="430">
        <f t="shared" si="4"/>
        <v>2066.5</v>
      </c>
      <c r="H78" s="430">
        <f t="shared" si="4"/>
        <v>0</v>
      </c>
      <c r="I78" s="430">
        <f t="shared" si="4"/>
        <v>0</v>
      </c>
      <c r="J78" s="430">
        <f t="shared" si="4"/>
        <v>2066.5</v>
      </c>
      <c r="K78" s="431">
        <f>J78*100/F78</f>
        <v>2.6229012981870063</v>
      </c>
      <c r="L78" s="432"/>
      <c r="M78" s="460"/>
      <c r="N78" s="390"/>
      <c r="O78" s="389"/>
      <c r="P78" s="550"/>
      <c r="Q78" s="551"/>
    </row>
    <row r="79" spans="1:22" s="391" customFormat="1" ht="390.75" customHeight="1">
      <c r="A79" s="497" t="s">
        <v>43</v>
      </c>
      <c r="B79" s="469" t="s">
        <v>12</v>
      </c>
      <c r="C79" s="526">
        <v>57191.9</v>
      </c>
      <c r="D79" s="526">
        <v>20000</v>
      </c>
      <c r="E79" s="526"/>
      <c r="F79" s="524">
        <f>E79+D79+C79</f>
        <v>77191.899999999994</v>
      </c>
      <c r="G79" s="526">
        <v>1877.5</v>
      </c>
      <c r="H79" s="526"/>
      <c r="I79" s="526"/>
      <c r="J79" s="524">
        <f>I79+H79+G79</f>
        <v>1877.5</v>
      </c>
      <c r="K79" s="556">
        <f>J79*100/F79</f>
        <v>2.432250015869541</v>
      </c>
      <c r="L79" s="558" t="s">
        <v>431</v>
      </c>
      <c r="M79" s="530">
        <f>48.83+276.74+58.04+65.92+50.83+116.02</f>
        <v>616.38</v>
      </c>
      <c r="N79" s="692" t="e">
        <f>M79+M80+#REF!+#REF!+#REF!+#REF!+M81</f>
        <v>#REF!</v>
      </c>
      <c r="O79" s="530">
        <f>59.1+806+227.3+156.9+299.1+73.4</f>
        <v>1621.8000000000002</v>
      </c>
      <c r="P79" s="713">
        <f>O79+O80+O81</f>
        <v>2066.5</v>
      </c>
      <c r="Q79" s="550"/>
    </row>
    <row r="80" spans="1:22" s="391" customFormat="1" ht="27" customHeight="1">
      <c r="A80" s="498"/>
      <c r="B80" s="468"/>
      <c r="C80" s="425"/>
      <c r="D80" s="425"/>
      <c r="E80" s="425"/>
      <c r="F80" s="419"/>
      <c r="G80" s="425"/>
      <c r="H80" s="425"/>
      <c r="I80" s="425"/>
      <c r="J80" s="419"/>
      <c r="K80" s="528"/>
      <c r="L80" s="571" t="s">
        <v>376</v>
      </c>
      <c r="M80" s="545">
        <v>23.4</v>
      </c>
      <c r="N80" s="691"/>
      <c r="O80" s="545">
        <v>255.7</v>
      </c>
      <c r="P80" s="714"/>
      <c r="Q80" s="550"/>
    </row>
    <row r="81" spans="1:26" s="391" customFormat="1" ht="59.25" customHeight="1">
      <c r="A81" s="493" t="s">
        <v>44</v>
      </c>
      <c r="B81" s="494" t="s">
        <v>13</v>
      </c>
      <c r="C81" s="458">
        <v>1594.9</v>
      </c>
      <c r="D81" s="458"/>
      <c r="E81" s="458"/>
      <c r="F81" s="430">
        <f>E81+D81+C81</f>
        <v>1594.9</v>
      </c>
      <c r="G81" s="458">
        <v>189</v>
      </c>
      <c r="H81" s="458"/>
      <c r="I81" s="458"/>
      <c r="J81" s="430">
        <f>I81+H81+G81</f>
        <v>189</v>
      </c>
      <c r="K81" s="431">
        <f>J81*100/F81</f>
        <v>11.850272744372687</v>
      </c>
      <c r="L81" s="432" t="s">
        <v>356</v>
      </c>
      <c r="M81" s="421">
        <v>611.5</v>
      </c>
      <c r="N81" s="693"/>
      <c r="O81" s="389">
        <v>189</v>
      </c>
      <c r="P81" s="550">
        <f>J81-O81</f>
        <v>0</v>
      </c>
      <c r="Q81" s="551"/>
    </row>
    <row r="82" spans="1:26" s="391" customFormat="1" ht="90" customHeight="1">
      <c r="A82" s="531" t="s">
        <v>46</v>
      </c>
      <c r="B82" s="715" t="s">
        <v>30</v>
      </c>
      <c r="C82" s="524">
        <v>31027.8</v>
      </c>
      <c r="D82" s="524">
        <v>143546.6</v>
      </c>
      <c r="E82" s="524"/>
      <c r="F82" s="524">
        <f>E82+D82+C82</f>
        <v>174574.4</v>
      </c>
      <c r="G82" s="524">
        <v>6540</v>
      </c>
      <c r="H82" s="524">
        <v>35774</v>
      </c>
      <c r="I82" s="524"/>
      <c r="J82" s="524">
        <f>SUM(G82:I82)</f>
        <v>42314</v>
      </c>
      <c r="K82" s="556">
        <f>J82*100/F82</f>
        <v>24.238376302596485</v>
      </c>
      <c r="L82" s="388" t="s">
        <v>381</v>
      </c>
      <c r="M82" s="530">
        <f>10429.1+2836.6+17.88+1+111.86+4.1+47.7+70.55+583.06+171.75+89.3+0.8</f>
        <v>14363.699999999999</v>
      </c>
      <c r="N82" s="700" t="e">
        <f>M82+M83+M84+M85+M86+M87+#REF!+#REF!</f>
        <v>#REF!</v>
      </c>
      <c r="O82" s="530">
        <f>3155.2+598.9+9.7+34.2+17+452.7+29.5</f>
        <v>4297.2</v>
      </c>
      <c r="P82" s="694">
        <f>O82+O83+O84+O85+O86+O87</f>
        <v>42314</v>
      </c>
      <c r="Q82" s="550">
        <f>J82-P82</f>
        <v>0</v>
      </c>
    </row>
    <row r="83" spans="1:26" s="391" customFormat="1" ht="70.5" customHeight="1">
      <c r="A83" s="416"/>
      <c r="B83" s="716"/>
      <c r="C83" s="419"/>
      <c r="D83" s="419"/>
      <c r="E83" s="419"/>
      <c r="F83" s="419"/>
      <c r="G83" s="419"/>
      <c r="H83" s="419"/>
      <c r="I83" s="419"/>
      <c r="J83" s="419"/>
      <c r="K83" s="528"/>
      <c r="L83" s="420" t="s">
        <v>380</v>
      </c>
      <c r="M83" s="545">
        <v>95040.2</v>
      </c>
      <c r="N83" s="701"/>
      <c r="O83" s="545">
        <v>35476.199999999997</v>
      </c>
      <c r="P83" s="695"/>
      <c r="Q83" s="551"/>
    </row>
    <row r="84" spans="1:26" s="391" customFormat="1" ht="105.75" customHeight="1">
      <c r="A84" s="416"/>
      <c r="B84" s="426"/>
      <c r="C84" s="419"/>
      <c r="D84" s="419"/>
      <c r="E84" s="419"/>
      <c r="F84" s="419"/>
      <c r="G84" s="419"/>
      <c r="H84" s="419"/>
      <c r="I84" s="419"/>
      <c r="J84" s="419"/>
      <c r="K84" s="528"/>
      <c r="L84" s="420" t="s">
        <v>382</v>
      </c>
      <c r="M84" s="545">
        <f>5375+41.08+181.2+1526.71+69.2+19.97+130.15+25.16+22.75+41.65+5.29+0.44</f>
        <v>7438.5999999999985</v>
      </c>
      <c r="N84" s="701"/>
      <c r="O84" s="545">
        <f>1827.3+354.6+16.5+6.9+2.9+8.8+24.3+1.5</f>
        <v>2242.8000000000006</v>
      </c>
      <c r="P84" s="695"/>
      <c r="Q84" s="551"/>
    </row>
    <row r="85" spans="1:26" s="391" customFormat="1" ht="73.5" customHeight="1">
      <c r="A85" s="416"/>
      <c r="B85" s="426"/>
      <c r="C85" s="419"/>
      <c r="D85" s="419"/>
      <c r="E85" s="419"/>
      <c r="F85" s="419"/>
      <c r="G85" s="419"/>
      <c r="H85" s="419"/>
      <c r="I85" s="419"/>
      <c r="J85" s="419"/>
      <c r="K85" s="528"/>
      <c r="L85" s="420" t="s">
        <v>385</v>
      </c>
      <c r="M85" s="545">
        <v>512.79999999999995</v>
      </c>
      <c r="N85" s="701"/>
      <c r="O85" s="545">
        <v>136</v>
      </c>
      <c r="P85" s="695"/>
      <c r="Q85" s="551"/>
    </row>
    <row r="86" spans="1:26" s="391" customFormat="1" ht="56.25" customHeight="1">
      <c r="A86" s="416"/>
      <c r="B86" s="426"/>
      <c r="C86" s="419"/>
      <c r="D86" s="419"/>
      <c r="E86" s="419"/>
      <c r="F86" s="419"/>
      <c r="G86" s="419"/>
      <c r="H86" s="419"/>
      <c r="I86" s="419"/>
      <c r="J86" s="419"/>
      <c r="K86" s="528"/>
      <c r="L86" s="420" t="s">
        <v>384</v>
      </c>
      <c r="M86" s="545">
        <v>563.20000000000005</v>
      </c>
      <c r="N86" s="446"/>
      <c r="O86" s="545">
        <v>148.80000000000001</v>
      </c>
      <c r="P86" s="695"/>
      <c r="Q86" s="551"/>
    </row>
    <row r="87" spans="1:26" s="391" customFormat="1" ht="49.5" customHeight="1">
      <c r="A87" s="416"/>
      <c r="B87" s="426"/>
      <c r="C87" s="419"/>
      <c r="D87" s="419"/>
      <c r="E87" s="419"/>
      <c r="F87" s="419"/>
      <c r="G87" s="419"/>
      <c r="H87" s="419"/>
      <c r="I87" s="419"/>
      <c r="J87" s="419"/>
      <c r="K87" s="528"/>
      <c r="L87" s="420" t="s">
        <v>383</v>
      </c>
      <c r="M87" s="545">
        <v>15</v>
      </c>
      <c r="N87" s="446"/>
      <c r="O87" s="545">
        <v>13</v>
      </c>
      <c r="P87" s="695"/>
      <c r="Q87" s="551"/>
    </row>
    <row r="88" spans="1:26" s="391" customFormat="1" ht="108.75" customHeight="1">
      <c r="A88" s="499" t="s">
        <v>47</v>
      </c>
      <c r="B88" s="433" t="s">
        <v>78</v>
      </c>
      <c r="C88" s="430">
        <v>390</v>
      </c>
      <c r="D88" s="430">
        <v>608.6</v>
      </c>
      <c r="E88" s="430">
        <v>3275.1</v>
      </c>
      <c r="F88" s="430">
        <f>C88+D88+E88</f>
        <v>4273.7</v>
      </c>
      <c r="G88" s="430">
        <v>156.4</v>
      </c>
      <c r="H88" s="430">
        <v>244.2</v>
      </c>
      <c r="I88" s="430">
        <v>1314</v>
      </c>
      <c r="J88" s="430">
        <f>I88+H88+G88</f>
        <v>1714.6000000000001</v>
      </c>
      <c r="K88" s="431">
        <f>J88*100/F88</f>
        <v>40.119802513044903</v>
      </c>
      <c r="L88" s="432" t="s">
        <v>375</v>
      </c>
      <c r="M88" s="389">
        <v>2741.2</v>
      </c>
      <c r="N88" s="390"/>
      <c r="O88" s="389">
        <v>1714.6</v>
      </c>
      <c r="P88" s="550"/>
      <c r="Q88" s="551"/>
    </row>
    <row r="89" spans="1:26" s="391" customFormat="1" ht="165.75" customHeight="1">
      <c r="A89" s="722" t="s">
        <v>49</v>
      </c>
      <c r="B89" s="724" t="s">
        <v>87</v>
      </c>
      <c r="C89" s="524">
        <v>2869.9</v>
      </c>
      <c r="D89" s="524">
        <v>660</v>
      </c>
      <c r="E89" s="524"/>
      <c r="F89" s="524">
        <f>E89+D89+C89</f>
        <v>3529.9</v>
      </c>
      <c r="G89" s="726">
        <v>135.30000000000001</v>
      </c>
      <c r="H89" s="726">
        <v>120.6</v>
      </c>
      <c r="I89" s="733"/>
      <c r="J89" s="726">
        <f>I89+H89+G89</f>
        <v>255.9</v>
      </c>
      <c r="K89" s="728">
        <f>J89*100/F89</f>
        <v>7.2494971528938494</v>
      </c>
      <c r="L89" s="558" t="s">
        <v>379</v>
      </c>
      <c r="M89" s="530">
        <f>152.6+73.5+1208.5+2.5+37.2+7.5+71.3+3.9+205.2+0.1</f>
        <v>1762.3</v>
      </c>
      <c r="N89" s="700">
        <f>M89+M90</f>
        <v>2234.1999999999998</v>
      </c>
      <c r="O89" s="530">
        <f>106.74+9.65+10.11+5.5+3.3</f>
        <v>135.30000000000001</v>
      </c>
      <c r="P89" s="688">
        <f>O89+O90</f>
        <v>255.9</v>
      </c>
      <c r="Q89" s="730">
        <f>J89-P89</f>
        <v>0</v>
      </c>
    </row>
    <row r="90" spans="1:26" s="391" customFormat="1" ht="42" customHeight="1">
      <c r="A90" s="723"/>
      <c r="B90" s="725"/>
      <c r="C90" s="525"/>
      <c r="D90" s="525"/>
      <c r="E90" s="525"/>
      <c r="F90" s="525"/>
      <c r="G90" s="727"/>
      <c r="H90" s="727"/>
      <c r="I90" s="734"/>
      <c r="J90" s="727"/>
      <c r="K90" s="729"/>
      <c r="L90" s="576" t="s">
        <v>378</v>
      </c>
      <c r="M90" s="421">
        <v>471.9</v>
      </c>
      <c r="N90" s="702"/>
      <c r="O90" s="421">
        <v>120.6</v>
      </c>
      <c r="P90" s="699"/>
      <c r="Q90" s="730"/>
    </row>
    <row r="91" spans="1:26" s="391" customFormat="1" ht="142.5" customHeight="1">
      <c r="A91" s="492" t="s">
        <v>50</v>
      </c>
      <c r="B91" s="433" t="s">
        <v>79</v>
      </c>
      <c r="C91" s="430">
        <f t="shared" ref="C91:J91" si="5">C92+C93+C94</f>
        <v>19983.900000000001</v>
      </c>
      <c r="D91" s="430">
        <f t="shared" si="5"/>
        <v>36456.300000000003</v>
      </c>
      <c r="E91" s="430">
        <f t="shared" si="5"/>
        <v>0</v>
      </c>
      <c r="F91" s="430">
        <f t="shared" si="5"/>
        <v>56440.200000000004</v>
      </c>
      <c r="G91" s="430">
        <f t="shared" si="5"/>
        <v>4285.5</v>
      </c>
      <c r="H91" s="430">
        <f t="shared" si="5"/>
        <v>0</v>
      </c>
      <c r="I91" s="430">
        <f t="shared" si="5"/>
        <v>0</v>
      </c>
      <c r="J91" s="430">
        <f t="shared" si="5"/>
        <v>4285.5</v>
      </c>
      <c r="K91" s="431">
        <f t="shared" ref="K91:K95" si="6">J91*100/F91</f>
        <v>7.5929922289431993</v>
      </c>
      <c r="L91" s="577"/>
      <c r="M91" s="530"/>
      <c r="N91" s="500" t="e">
        <f>M92+#REF!+M94</f>
        <v>#REF!</v>
      </c>
      <c r="O91" s="389"/>
      <c r="P91" s="550"/>
      <c r="Q91" s="551"/>
    </row>
    <row r="92" spans="1:26" s="391" customFormat="1" ht="90" customHeight="1">
      <c r="A92" s="497" t="s">
        <v>51</v>
      </c>
      <c r="B92" s="464" t="s">
        <v>14</v>
      </c>
      <c r="C92" s="526">
        <v>2230.9</v>
      </c>
      <c r="D92" s="526">
        <v>36456.300000000003</v>
      </c>
      <c r="E92" s="526"/>
      <c r="F92" s="524">
        <f>E92+D92+C92</f>
        <v>38687.200000000004</v>
      </c>
      <c r="G92" s="526">
        <v>0</v>
      </c>
      <c r="H92" s="526">
        <v>0</v>
      </c>
      <c r="I92" s="526">
        <v>0</v>
      </c>
      <c r="J92" s="524">
        <f>I92+H92+G92</f>
        <v>0</v>
      </c>
      <c r="K92" s="556">
        <f t="shared" si="6"/>
        <v>0</v>
      </c>
      <c r="L92" s="388"/>
      <c r="M92" s="444">
        <f>38.1+140+20</f>
        <v>198.1</v>
      </c>
      <c r="N92" s="446"/>
      <c r="O92" s="530">
        <v>0</v>
      </c>
      <c r="P92" s="547">
        <f>O92+O94</f>
        <v>4285.5000000000009</v>
      </c>
      <c r="Q92" s="550"/>
      <c r="R92" s="501"/>
    </row>
    <row r="93" spans="1:26" ht="39" hidden="1">
      <c r="A93" s="493" t="s">
        <v>52</v>
      </c>
      <c r="B93" s="463" t="s">
        <v>15</v>
      </c>
      <c r="C93" s="458">
        <v>0</v>
      </c>
      <c r="D93" s="458"/>
      <c r="E93" s="458"/>
      <c r="F93" s="430">
        <f>C93+D93+E93</f>
        <v>0</v>
      </c>
      <c r="G93" s="458"/>
      <c r="H93" s="458"/>
      <c r="I93" s="458"/>
      <c r="J93" s="430">
        <f>I93+H93+G93</f>
        <v>0</v>
      </c>
      <c r="K93" s="431">
        <v>0</v>
      </c>
      <c r="L93" s="578"/>
      <c r="M93" s="545"/>
      <c r="N93" s="446"/>
    </row>
    <row r="94" spans="1:26" ht="207.75" customHeight="1">
      <c r="A94" s="495" t="s">
        <v>52</v>
      </c>
      <c r="B94" s="463" t="s">
        <v>5</v>
      </c>
      <c r="C94" s="458">
        <v>17753</v>
      </c>
      <c r="D94" s="458"/>
      <c r="E94" s="458"/>
      <c r="F94" s="430">
        <f>E94+D94+C94</f>
        <v>17753</v>
      </c>
      <c r="G94" s="458">
        <v>4285.5</v>
      </c>
      <c r="H94" s="458"/>
      <c r="I94" s="458"/>
      <c r="J94" s="430">
        <f>I94+H94+G94</f>
        <v>4285.5</v>
      </c>
      <c r="K94" s="431">
        <f t="shared" si="6"/>
        <v>24.139582042471694</v>
      </c>
      <c r="L94" s="457" t="s">
        <v>377</v>
      </c>
      <c r="M94" s="421">
        <f>8128.45+41.23+2+2331.96+81.6+206.1+77.1+417.1+153.1+243.1+88.56+2.3+3.1</f>
        <v>11775.7</v>
      </c>
      <c r="N94" s="449"/>
      <c r="O94" s="389">
        <f>3264.8+6.21+613.4+28.83+109.8+5.15+43.8+133.8+52+24.75+1.77+0.41+0.78</f>
        <v>4285.5000000000009</v>
      </c>
      <c r="P94" s="550">
        <f>J94-O94</f>
        <v>0</v>
      </c>
    </row>
    <row r="95" spans="1:26" ht="91.5" customHeight="1">
      <c r="A95" s="428" t="s">
        <v>53</v>
      </c>
      <c r="B95" s="429" t="s">
        <v>80</v>
      </c>
      <c r="C95" s="430">
        <v>50</v>
      </c>
      <c r="D95" s="430"/>
      <c r="E95" s="430"/>
      <c r="F95" s="430">
        <f>E95+D95+C95</f>
        <v>50</v>
      </c>
      <c r="G95" s="430">
        <v>0</v>
      </c>
      <c r="H95" s="430"/>
      <c r="I95" s="430"/>
      <c r="J95" s="430">
        <f>SUM(G95:I95)</f>
        <v>0</v>
      </c>
      <c r="K95" s="431">
        <f t="shared" si="6"/>
        <v>0</v>
      </c>
      <c r="L95" s="457" t="s">
        <v>373</v>
      </c>
      <c r="P95" s="550">
        <f>J95-O95</f>
        <v>0</v>
      </c>
    </row>
    <row r="96" spans="1:26" s="461" customFormat="1" ht="40.5" customHeight="1">
      <c r="A96" s="731" t="s">
        <v>54</v>
      </c>
      <c r="B96" s="732"/>
      <c r="C96" s="579">
        <f t="shared" ref="C96:J96" si="7">C78+C91+C89+C65+C88+C70+C71+C35+C58+C76+C52+C36+C15+C82+C95+C14+C7</f>
        <v>810296.8</v>
      </c>
      <c r="D96" s="579">
        <f t="shared" si="7"/>
        <v>1148850.5</v>
      </c>
      <c r="E96" s="579">
        <f t="shared" si="7"/>
        <v>148322.69999999998</v>
      </c>
      <c r="F96" s="579">
        <f t="shared" si="7"/>
        <v>2107470</v>
      </c>
      <c r="G96" s="579">
        <f t="shared" si="7"/>
        <v>148506.79999999999</v>
      </c>
      <c r="H96" s="579">
        <f t="shared" si="7"/>
        <v>229724</v>
      </c>
      <c r="I96" s="579">
        <f t="shared" si="7"/>
        <v>18953.8</v>
      </c>
      <c r="J96" s="579">
        <f t="shared" si="7"/>
        <v>397184.60000000003</v>
      </c>
      <c r="K96" s="502">
        <f>J96/F96*100</f>
        <v>18.846512643121848</v>
      </c>
      <c r="L96" s="503"/>
      <c r="M96" s="389"/>
      <c r="N96" s="390"/>
      <c r="O96" s="389"/>
      <c r="P96" s="550"/>
      <c r="Q96" s="551"/>
      <c r="R96" s="504"/>
      <c r="S96" s="504"/>
      <c r="T96" s="504"/>
      <c r="U96" s="504"/>
      <c r="V96" s="504"/>
      <c r="W96" s="504"/>
      <c r="X96" s="504"/>
      <c r="Y96" s="504"/>
      <c r="Z96" s="504"/>
    </row>
    <row r="97" spans="1:26" ht="27.75" customHeight="1">
      <c r="A97" s="505"/>
      <c r="B97" s="506"/>
      <c r="C97" s="580"/>
      <c r="D97" s="580"/>
      <c r="E97" s="580"/>
      <c r="F97" s="580"/>
      <c r="G97" s="580"/>
      <c r="H97" s="580"/>
      <c r="I97" s="580"/>
      <c r="J97" s="580"/>
      <c r="K97" s="509"/>
      <c r="L97" s="505"/>
    </row>
    <row r="98" spans="1:26" ht="27.75" customHeight="1">
      <c r="A98" s="505"/>
      <c r="B98" s="506"/>
      <c r="C98" s="580"/>
      <c r="D98" s="580"/>
      <c r="E98" s="580"/>
      <c r="F98" s="580"/>
      <c r="G98" s="580"/>
      <c r="H98" s="580"/>
      <c r="I98" s="580"/>
      <c r="J98" s="580"/>
      <c r="K98" s="509"/>
      <c r="L98" s="505"/>
    </row>
    <row r="99" spans="1:26" ht="82.5" customHeight="1">
      <c r="A99" s="554" t="s">
        <v>214</v>
      </c>
      <c r="B99" s="554"/>
      <c r="C99" s="507"/>
      <c r="D99" s="507"/>
      <c r="E99" s="507"/>
      <c r="F99" s="507"/>
      <c r="G99" s="507"/>
      <c r="H99" s="507"/>
      <c r="I99" s="507"/>
      <c r="J99" s="507"/>
      <c r="K99" s="508"/>
      <c r="L99" s="505"/>
    </row>
    <row r="100" spans="1:26">
      <c r="A100" s="510" t="s">
        <v>55</v>
      </c>
      <c r="B100" s="510"/>
      <c r="C100" s="511"/>
      <c r="D100" s="507"/>
      <c r="E100" s="507"/>
      <c r="F100" s="507"/>
      <c r="G100" s="507"/>
      <c r="H100" s="507"/>
      <c r="I100" s="507"/>
      <c r="J100" s="507"/>
      <c r="K100" s="508"/>
      <c r="L100" s="505"/>
    </row>
    <row r="101" spans="1:26">
      <c r="A101" s="512" t="s">
        <v>152</v>
      </c>
      <c r="B101" s="512"/>
      <c r="C101" s="513"/>
      <c r="D101" s="514"/>
      <c r="E101" s="515"/>
      <c r="L101" s="517" t="s">
        <v>56</v>
      </c>
    </row>
    <row r="102" spans="1:26" ht="20.25">
      <c r="B102" s="518"/>
      <c r="D102" s="515"/>
      <c r="E102" s="515"/>
    </row>
    <row r="103" spans="1:26" ht="48.75" customHeight="1">
      <c r="D103" s="515"/>
      <c r="E103" s="515"/>
      <c r="L103" s="405"/>
    </row>
    <row r="104" spans="1:26">
      <c r="A104" s="392" t="s">
        <v>57</v>
      </c>
      <c r="D104" s="515"/>
      <c r="E104" s="515"/>
      <c r="L104" s="519"/>
    </row>
    <row r="105" spans="1:26">
      <c r="A105" s="392" t="s">
        <v>70</v>
      </c>
      <c r="D105" s="515"/>
      <c r="E105" s="515"/>
      <c r="L105" s="519"/>
    </row>
    <row r="106" spans="1:26" s="389" customFormat="1">
      <c r="A106" s="392" t="s">
        <v>71</v>
      </c>
      <c r="B106" s="392"/>
      <c r="C106" s="395"/>
      <c r="D106" s="515"/>
      <c r="E106" s="515"/>
      <c r="F106" s="396"/>
      <c r="G106" s="395"/>
      <c r="H106" s="395"/>
      <c r="I106" s="395"/>
      <c r="J106" s="396"/>
      <c r="K106" s="516"/>
      <c r="L106" s="519"/>
      <c r="N106" s="390"/>
      <c r="P106" s="550"/>
      <c r="Q106" s="551"/>
      <c r="R106" s="391"/>
      <c r="S106" s="391"/>
      <c r="T106" s="391"/>
      <c r="U106" s="391"/>
      <c r="V106" s="391"/>
      <c r="W106" s="391"/>
      <c r="X106" s="391"/>
      <c r="Y106" s="391"/>
      <c r="Z106" s="391"/>
    </row>
    <row r="107" spans="1:26" s="389" customFormat="1" ht="24.75" customHeight="1">
      <c r="A107" s="721" t="s">
        <v>110</v>
      </c>
      <c r="B107" s="721"/>
      <c r="C107" s="395"/>
      <c r="D107" s="515"/>
      <c r="E107" s="515"/>
      <c r="F107" s="396"/>
      <c r="G107" s="395"/>
      <c r="H107" s="395"/>
      <c r="I107" s="395"/>
      <c r="J107" s="396"/>
      <c r="K107" s="516"/>
      <c r="L107" s="520"/>
      <c r="N107" s="390"/>
      <c r="P107" s="550"/>
      <c r="Q107" s="551"/>
      <c r="R107" s="391"/>
      <c r="S107" s="391"/>
      <c r="T107" s="391"/>
      <c r="U107" s="391"/>
      <c r="V107" s="391"/>
      <c r="W107" s="391"/>
      <c r="X107" s="391"/>
      <c r="Y107" s="391"/>
      <c r="Z107" s="391"/>
    </row>
    <row r="108" spans="1:26" s="389" customFormat="1">
      <c r="A108" s="392"/>
      <c r="B108" s="392"/>
      <c r="C108" s="395"/>
      <c r="D108" s="515"/>
      <c r="E108" s="515"/>
      <c r="F108" s="396"/>
      <c r="G108" s="395"/>
      <c r="H108" s="395"/>
      <c r="I108" s="395"/>
      <c r="J108" s="396"/>
      <c r="K108" s="516"/>
      <c r="L108" s="392"/>
      <c r="N108" s="390"/>
      <c r="P108" s="550"/>
      <c r="Q108" s="551"/>
      <c r="R108" s="391"/>
      <c r="S108" s="391"/>
      <c r="T108" s="391"/>
      <c r="U108" s="391"/>
      <c r="V108" s="391"/>
      <c r="W108" s="391"/>
      <c r="X108" s="391"/>
      <c r="Y108" s="391"/>
      <c r="Z108" s="391"/>
    </row>
    <row r="109" spans="1:26" s="389" customFormat="1">
      <c r="A109" s="392"/>
      <c r="B109" s="392"/>
      <c r="C109" s="395"/>
      <c r="D109" s="515"/>
      <c r="E109" s="515"/>
      <c r="F109" s="396"/>
      <c r="G109" s="395"/>
      <c r="H109" s="395"/>
      <c r="I109" s="395"/>
      <c r="J109" s="396"/>
      <c r="K109" s="516"/>
      <c r="L109" s="392"/>
      <c r="N109" s="390"/>
      <c r="P109" s="550"/>
      <c r="Q109" s="551"/>
      <c r="R109" s="391"/>
      <c r="S109" s="391"/>
      <c r="T109" s="391"/>
      <c r="U109" s="391"/>
      <c r="V109" s="391"/>
      <c r="W109" s="391"/>
      <c r="X109" s="391"/>
      <c r="Y109" s="391"/>
      <c r="Z109" s="391"/>
    </row>
    <row r="110" spans="1:26" s="389" customFormat="1">
      <c r="A110" s="392"/>
      <c r="B110" s="392"/>
      <c r="C110" s="395"/>
      <c r="D110" s="515"/>
      <c r="E110" s="515"/>
      <c r="F110" s="396"/>
      <c r="G110" s="395"/>
      <c r="H110" s="395"/>
      <c r="I110" s="395"/>
      <c r="J110" s="396"/>
      <c r="K110" s="516"/>
      <c r="L110" s="519"/>
      <c r="N110" s="390"/>
      <c r="P110" s="550"/>
      <c r="Q110" s="551"/>
      <c r="R110" s="391"/>
      <c r="S110" s="391"/>
      <c r="T110" s="391"/>
      <c r="U110" s="391"/>
      <c r="V110" s="391"/>
      <c r="W110" s="391"/>
      <c r="X110" s="391"/>
      <c r="Y110" s="391"/>
      <c r="Z110" s="391"/>
    </row>
    <row r="111" spans="1:26" s="389" customFormat="1">
      <c r="A111" s="392"/>
      <c r="B111" s="392"/>
      <c r="C111" s="395"/>
      <c r="D111" s="515"/>
      <c r="E111" s="515"/>
      <c r="F111" s="396"/>
      <c r="G111" s="395"/>
      <c r="H111" s="395"/>
      <c r="I111" s="395"/>
      <c r="J111" s="396"/>
      <c r="K111" s="516"/>
      <c r="L111" s="519"/>
      <c r="N111" s="390"/>
      <c r="P111" s="550"/>
      <c r="Q111" s="551"/>
      <c r="R111" s="391"/>
      <c r="S111" s="391"/>
      <c r="T111" s="391"/>
      <c r="U111" s="391"/>
      <c r="V111" s="391"/>
      <c r="W111" s="391"/>
      <c r="X111" s="391"/>
      <c r="Y111" s="391"/>
      <c r="Z111" s="391"/>
    </row>
    <row r="112" spans="1:26" s="389" customFormat="1">
      <c r="A112" s="392"/>
      <c r="B112" s="392"/>
      <c r="C112" s="395"/>
      <c r="D112" s="515"/>
      <c r="E112" s="515"/>
      <c r="F112" s="396"/>
      <c r="G112" s="395"/>
      <c r="H112" s="395"/>
      <c r="I112" s="395"/>
      <c r="J112" s="396"/>
      <c r="K112" s="516"/>
      <c r="L112" s="392"/>
      <c r="N112" s="390"/>
      <c r="P112" s="550"/>
      <c r="Q112" s="551"/>
      <c r="R112" s="391"/>
      <c r="S112" s="391"/>
      <c r="T112" s="391"/>
      <c r="U112" s="391"/>
      <c r="V112" s="391"/>
      <c r="W112" s="391"/>
      <c r="X112" s="391"/>
      <c r="Y112" s="391"/>
      <c r="Z112" s="391"/>
    </row>
    <row r="113" spans="1:26" s="389" customFormat="1">
      <c r="A113" s="392"/>
      <c r="B113" s="392"/>
      <c r="C113" s="395"/>
      <c r="D113" s="515"/>
      <c r="E113" s="515"/>
      <c r="F113" s="396"/>
      <c r="G113" s="395"/>
      <c r="H113" s="395"/>
      <c r="I113" s="395"/>
      <c r="J113" s="396"/>
      <c r="K113" s="516"/>
      <c r="L113" s="392"/>
      <c r="N113" s="390"/>
      <c r="P113" s="550"/>
      <c r="Q113" s="551"/>
      <c r="R113" s="391"/>
      <c r="S113" s="391"/>
      <c r="T113" s="391"/>
      <c r="U113" s="391"/>
      <c r="V113" s="391"/>
      <c r="W113" s="391"/>
      <c r="X113" s="391"/>
      <c r="Y113" s="391"/>
      <c r="Z113" s="391"/>
    </row>
    <row r="114" spans="1:26" s="389" customFormat="1">
      <c r="A114" s="392"/>
      <c r="B114" s="392"/>
      <c r="C114" s="395"/>
      <c r="D114" s="515"/>
      <c r="E114" s="515"/>
      <c r="F114" s="396"/>
      <c r="G114" s="395"/>
      <c r="H114" s="395"/>
      <c r="I114" s="395"/>
      <c r="J114" s="396"/>
      <c r="K114" s="516"/>
      <c r="L114" s="392"/>
      <c r="N114" s="390"/>
      <c r="P114" s="550"/>
      <c r="Q114" s="551"/>
      <c r="R114" s="391"/>
      <c r="S114" s="391"/>
      <c r="T114" s="391"/>
      <c r="U114" s="391"/>
      <c r="V114" s="391"/>
      <c r="W114" s="391"/>
      <c r="X114" s="391"/>
      <c r="Y114" s="391"/>
      <c r="Z114" s="391"/>
    </row>
    <row r="115" spans="1:26" s="389" customFormat="1">
      <c r="A115" s="392"/>
      <c r="B115" s="392"/>
      <c r="C115" s="395"/>
      <c r="D115" s="515"/>
      <c r="E115" s="515"/>
      <c r="F115" s="396"/>
      <c r="G115" s="395"/>
      <c r="H115" s="395"/>
      <c r="I115" s="395"/>
      <c r="J115" s="396"/>
      <c r="K115" s="516"/>
      <c r="L115" s="392"/>
      <c r="N115" s="390"/>
      <c r="P115" s="550"/>
      <c r="Q115" s="551"/>
      <c r="R115" s="391"/>
      <c r="S115" s="391"/>
      <c r="T115" s="391"/>
      <c r="U115" s="391"/>
      <c r="V115" s="391"/>
      <c r="W115" s="391"/>
      <c r="X115" s="391"/>
      <c r="Y115" s="391"/>
      <c r="Z115" s="391"/>
    </row>
    <row r="116" spans="1:26" s="389" customFormat="1">
      <c r="A116" s="392"/>
      <c r="B116" s="392"/>
      <c r="C116" s="395"/>
      <c r="D116" s="515"/>
      <c r="E116" s="515"/>
      <c r="F116" s="396"/>
      <c r="G116" s="395"/>
      <c r="H116" s="395"/>
      <c r="I116" s="395"/>
      <c r="J116" s="396"/>
      <c r="K116" s="516"/>
      <c r="L116" s="392"/>
      <c r="N116" s="390"/>
      <c r="P116" s="550"/>
      <c r="Q116" s="551"/>
      <c r="R116" s="391"/>
      <c r="S116" s="391"/>
      <c r="T116" s="391"/>
      <c r="U116" s="391"/>
      <c r="V116" s="391"/>
      <c r="W116" s="391"/>
      <c r="X116" s="391"/>
      <c r="Y116" s="391"/>
      <c r="Z116" s="391"/>
    </row>
    <row r="117" spans="1:26" s="389" customFormat="1">
      <c r="A117" s="392"/>
      <c r="B117" s="392"/>
      <c r="C117" s="395"/>
      <c r="D117" s="515"/>
      <c r="E117" s="395"/>
      <c r="F117" s="396"/>
      <c r="G117" s="395"/>
      <c r="H117" s="395"/>
      <c r="I117" s="395"/>
      <c r="J117" s="396"/>
      <c r="K117" s="516"/>
      <c r="L117" s="392"/>
      <c r="N117" s="390"/>
      <c r="P117" s="550"/>
      <c r="Q117" s="551"/>
      <c r="R117" s="391"/>
      <c r="S117" s="391"/>
      <c r="T117" s="391"/>
      <c r="U117" s="391"/>
      <c r="V117" s="391"/>
      <c r="W117" s="391"/>
      <c r="X117" s="391"/>
      <c r="Y117" s="391"/>
      <c r="Z117" s="391"/>
    </row>
    <row r="118" spans="1:26" s="389" customFormat="1">
      <c r="A118" s="392"/>
      <c r="B118" s="392"/>
      <c r="C118" s="395"/>
      <c r="D118" s="515"/>
      <c r="E118" s="395"/>
      <c r="F118" s="396"/>
      <c r="G118" s="395"/>
      <c r="H118" s="395"/>
      <c r="I118" s="395"/>
      <c r="J118" s="396"/>
      <c r="K118" s="516"/>
      <c r="L118" s="392"/>
      <c r="N118" s="390"/>
      <c r="P118" s="550"/>
      <c r="Q118" s="551"/>
      <c r="R118" s="391"/>
      <c r="S118" s="391"/>
      <c r="T118" s="391"/>
      <c r="U118" s="391"/>
      <c r="V118" s="391"/>
      <c r="W118" s="391"/>
      <c r="X118" s="391"/>
      <c r="Y118" s="391"/>
      <c r="Z118" s="391"/>
    </row>
  </sheetData>
  <sheetProtection formatCells="0" formatColumns="0" formatRows="0" insertColumns="0" insertRows="0" insertHyperlinks="0" deleteColumns="0" deleteRows="0" sort="0" autoFilter="0" pivotTables="0"/>
  <mergeCells count="55">
    <mergeCell ref="K89:K90"/>
    <mergeCell ref="N89:N90"/>
    <mergeCell ref="P89:P90"/>
    <mergeCell ref="Q89:Q90"/>
    <mergeCell ref="A96:B96"/>
    <mergeCell ref="I89:I90"/>
    <mergeCell ref="J89:J90"/>
    <mergeCell ref="A107:B107"/>
    <mergeCell ref="A89:A90"/>
    <mergeCell ref="B89:B90"/>
    <mergeCell ref="G89:G90"/>
    <mergeCell ref="H89:H90"/>
    <mergeCell ref="R65:R69"/>
    <mergeCell ref="P76:P77"/>
    <mergeCell ref="N79:N81"/>
    <mergeCell ref="P79:P80"/>
    <mergeCell ref="B82:B83"/>
    <mergeCell ref="N82:N85"/>
    <mergeCell ref="P82:P87"/>
    <mergeCell ref="N65:N69"/>
    <mergeCell ref="P65:P69"/>
    <mergeCell ref="Q65:Q69"/>
    <mergeCell ref="N61:N62"/>
    <mergeCell ref="P61:P62"/>
    <mergeCell ref="Q61:Q62"/>
    <mergeCell ref="P63:P64"/>
    <mergeCell ref="Q63:Q64"/>
    <mergeCell ref="N59:N60"/>
    <mergeCell ref="P59:P60"/>
    <mergeCell ref="Q59:Q60"/>
    <mergeCell ref="N37:N38"/>
    <mergeCell ref="N39:N43"/>
    <mergeCell ref="N44:N47"/>
    <mergeCell ref="N48:N49"/>
    <mergeCell ref="P48:P49"/>
    <mergeCell ref="Q48:Q49"/>
    <mergeCell ref="N50:N51"/>
    <mergeCell ref="P50:P51"/>
    <mergeCell ref="Q50:Q51"/>
    <mergeCell ref="N52:N57"/>
    <mergeCell ref="P52:P57"/>
    <mergeCell ref="N7:N13"/>
    <mergeCell ref="P7:P8"/>
    <mergeCell ref="P10:P12"/>
    <mergeCell ref="N16:N29"/>
    <mergeCell ref="N31:N33"/>
    <mergeCell ref="P31:P33"/>
    <mergeCell ref="A1:L1"/>
    <mergeCell ref="A2:L2"/>
    <mergeCell ref="A4:A5"/>
    <mergeCell ref="B4:B5"/>
    <mergeCell ref="C4:F4"/>
    <mergeCell ref="G4:J4"/>
    <mergeCell ref="K4:K5"/>
    <mergeCell ref="L4:L5"/>
  </mergeCells>
  <pageMargins left="0.15748031496062992" right="0.15748031496062992" top="0.43307086614173229" bottom="0.19685039370078741" header="0" footer="0"/>
  <pageSetup paperSize="9" scale="40" fitToHeight="0" orientation="landscape" r:id="rId1"/>
  <rowBreaks count="7" manualBreakCount="7">
    <brk id="17" max="13" man="1"/>
    <brk id="35" max="13" man="1"/>
    <brk id="46" max="13" man="1"/>
    <brk id="60" max="13" man="1"/>
    <brk id="70" max="13" man="1"/>
    <brk id="79" max="13" man="1"/>
    <brk id="94" max="13" man="1"/>
  </rowBreaks>
  <colBreaks count="1" manualBreakCount="1">
    <brk id="12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Отчет</vt:lpstr>
      <vt:lpstr>Лист1</vt:lpstr>
      <vt:lpstr>Лист2</vt:lpstr>
      <vt:lpstr>Отчет за 12 месяцев (2)</vt:lpstr>
      <vt:lpstr>Отчет за 1 квартал</vt:lpstr>
      <vt:lpstr>Отчет!Заголовки_для_печати</vt:lpstr>
      <vt:lpstr>'Отчет за 1 квартал'!Заголовки_для_печати</vt:lpstr>
      <vt:lpstr>'Отчет за 12 месяцев (2)'!Заголовки_для_печати</vt:lpstr>
      <vt:lpstr>Отчет!Область_печати</vt:lpstr>
      <vt:lpstr>'Отчет за 1 квартал'!Область_печати</vt:lpstr>
      <vt:lpstr>'Отчет за 12 месяцев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2024-05-08T02:33:50Z</dcterms:modified>
</cp:coreProperties>
</file>