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8_4.bin" ContentType="application/vnd.openxmlformats-officedocument.oleObject"/>
  <Override PartName="/xl/embeddings/oleObject_8_5.bin" ContentType="application/vnd.openxmlformats-officedocument.oleObject"/>
  <Override PartName="/xl/embeddings/oleObject_8_6.bin" ContentType="application/vnd.openxmlformats-officedocument.oleObject"/>
  <Override PartName="/xl/embeddings/oleObject_8_7.bin" ContentType="application/vnd.openxmlformats-officedocument.oleObject"/>
  <Override PartName="/xl/embeddings/oleObject_8_8.bin" ContentType="application/vnd.openxmlformats-officedocument.oleObject"/>
  <Override PartName="/xl/embeddings/oleObject_8_9.bin" ContentType="application/vnd.openxmlformats-officedocument.oleObject"/>
  <Override PartName="/xl/embeddings/oleObject_8_10.bin" ContentType="application/vnd.openxmlformats-officedocument.oleObject"/>
  <Override PartName="/xl/embeddings/oleObject_8_11.bin" ContentType="application/vnd.openxmlformats-officedocument.oleObject"/>
  <Override PartName="/xl/embeddings/oleObject_8_12.bin" ContentType="application/vnd.openxmlformats-officedocument.oleObject"/>
  <Override PartName="/xl/embeddings/oleObject_8_13.bin" ContentType="application/vnd.openxmlformats-officedocument.oleObject"/>
  <Override PartName="/xl/embeddings/oleObject_8_14.bin" ContentType="application/vnd.openxmlformats-officedocument.oleObject"/>
  <Override PartName="/xl/embeddings/oleObject_8_15.bin" ContentType="application/vnd.openxmlformats-officedocument.oleObject"/>
  <Override PartName="/xl/embeddings/oleObject_8_16.bin" ContentType="application/vnd.openxmlformats-officedocument.oleObject"/>
  <Override PartName="/xl/embeddings/oleObject_8_17.bin" ContentType="application/vnd.openxmlformats-officedocument.oleObject"/>
  <Override PartName="/xl/embeddings/oleObject_8_18.bin" ContentType="application/vnd.openxmlformats-officedocument.oleObject"/>
  <Override PartName="/xl/embeddings/oleObject_8_19.bin" ContentType="application/vnd.openxmlformats-officedocument.oleObject"/>
  <Override PartName="/xl/embeddings/oleObject_8_20.bin" ContentType="application/vnd.openxmlformats-officedocument.oleObject"/>
  <Override PartName="/xl/embeddings/oleObject_8_21.bin" ContentType="application/vnd.openxmlformats-officedocument.oleObject"/>
  <Override PartName="/xl/embeddings/oleObject_8_22.bin" ContentType="application/vnd.openxmlformats-officedocument.oleObject"/>
  <Override PartName="/xl/embeddings/oleObject_8_23.bin" ContentType="application/vnd.openxmlformats-officedocument.oleObject"/>
  <Override PartName="/xl/embeddings/oleObject_8_24.bin" ContentType="application/vnd.openxmlformats-officedocument.oleObject"/>
  <Override PartName="/xl/embeddings/oleObject_8_25.bin" ContentType="application/vnd.openxmlformats-officedocument.oleObject"/>
  <Override PartName="/xl/embeddings/oleObject_8_26.bin" ContentType="application/vnd.openxmlformats-officedocument.oleObject"/>
  <Override PartName="/xl/embeddings/oleObject_8_27.bin" ContentType="application/vnd.openxmlformats-officedocument.oleObject"/>
  <Override PartName="/xl/embeddings/oleObject_8_28.bin" ContentType="application/vnd.openxmlformats-officedocument.oleObject"/>
  <Override PartName="/xl/embeddings/oleObject_8_29.bin" ContentType="application/vnd.openxmlformats-officedocument.oleObject"/>
  <Override PartName="/xl/embeddings/oleObject_8_30.bin" ContentType="application/vnd.openxmlformats-officedocument.oleObject"/>
  <Override PartName="/xl/embeddings/oleObject_8_31.bin" ContentType="application/vnd.openxmlformats-officedocument.oleObject"/>
  <Override PartName="/xl/embeddings/oleObject_8_3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8580" windowWidth="11355" windowHeight="1185" tabRatio="914" activeTab="0"/>
  </bookViews>
  <sheets>
    <sheet name="Источ.2020" sheetId="1" r:id="rId1"/>
    <sheet name="Дох. 2020" sheetId="2" r:id="rId2"/>
    <sheet name="Вед. 2020" sheetId="3" r:id="rId3"/>
    <sheet name="Функц.2020" sheetId="4" r:id="rId4"/>
    <sheet name="Прогр. непрогр 2020 г" sheetId="5" r:id="rId5"/>
    <sheet name="Функц.2014" sheetId="6" state="hidden" r:id="rId6"/>
    <sheet name="Функц. 2015-2016" sheetId="7" state="hidden" r:id="rId7"/>
    <sheet name="кредиты" sheetId="8" state="hidden" r:id="rId8"/>
    <sheet name="Методика" sheetId="9" state="hidden" r:id="rId9"/>
  </sheets>
  <definedNames>
    <definedName name="_xlnm.Print_Area" localSheetId="2">'Вед. 2020'!$A$1:$I$782</definedName>
    <definedName name="_xlnm.Print_Area" localSheetId="1">'Дох. 2020'!$A$1:$E$262</definedName>
    <definedName name="_xlnm.Print_Area" localSheetId="4">'Прогр. непрогр 2020 г'!$A$1:$D$456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'Функц.2020'!$A$1:$F$62</definedName>
  </definedNames>
  <calcPr fullCalcOnLoad="1"/>
</workbook>
</file>

<file path=xl/sharedStrings.xml><?xml version="1.0" encoding="utf-8"?>
<sst xmlns="http://schemas.openxmlformats.org/spreadsheetml/2006/main" count="5310" uniqueCount="1348">
  <si>
    <t>руб.</t>
  </si>
  <si>
    <t>Социальная политика</t>
  </si>
  <si>
    <t>Общее образование</t>
  </si>
  <si>
    <t>Культура</t>
  </si>
  <si>
    <t>Автомобильный транспорт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</si>
  <si>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</si>
  <si>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</si>
  <si>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</si>
  <si>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</si>
  <si>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</si>
  <si>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</si>
  <si>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</si>
  <si>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</si>
  <si>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</si>
  <si>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</si>
  <si>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</si>
  <si>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</si>
  <si>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</si>
  <si>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</si>
  <si>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</si>
  <si>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</si>
  <si>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 xml:space="preserve">Физическая культура и спорт 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</si>
  <si>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</si>
  <si>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</si>
  <si>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</si>
  <si>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</si>
  <si>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</si>
  <si>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</si>
  <si>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</si>
  <si>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</si>
  <si>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</si>
  <si>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</si>
  <si>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 xml:space="preserve"> расходов бюджета муниципального образования Усть-Абаканский район Республики Хакасия </t>
  </si>
  <si>
    <t xml:space="preserve">Социальная политика </t>
  </si>
  <si>
    <t xml:space="preserve">Национальная экономика </t>
  </si>
  <si>
    <t>12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</si>
  <si>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</si>
  <si>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</si>
  <si>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</si>
  <si>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Иные межбюджетные трансферты</t>
  </si>
  <si>
    <t>Охрана окружающей среды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</si>
  <si>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</si>
  <si>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</si>
  <si>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</si>
  <si>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</si>
  <si>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</si>
  <si>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</si>
  <si>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</si>
  <si>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</si>
  <si>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</si>
  <si>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</si>
  <si>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</si>
  <si>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</si>
  <si>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Молодежная политика и оздоровление детей</t>
  </si>
  <si>
    <t>Другие вопросы в области образования</t>
  </si>
  <si>
    <t>Глава муниципального образования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</si>
  <si>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</si>
  <si>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</si>
  <si>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</si>
  <si>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</si>
  <si>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№ п/п</t>
  </si>
  <si>
    <t xml:space="preserve">Распределение бюджетных ассигнований </t>
  </si>
  <si>
    <t>Периодическая печать и издательства</t>
  </si>
  <si>
    <t>Социальное обеспечение населения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</si>
  <si>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</si>
  <si>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</si>
  <si>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</si>
  <si>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</si>
  <si>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</si>
  <si>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</si>
  <si>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</si>
  <si>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</si>
  <si>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</si>
  <si>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</si>
  <si>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</si>
  <si>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</si>
  <si>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на 2011 год</t>
  </si>
  <si>
    <t>Обеспечение пожарной безопасности</t>
  </si>
  <si>
    <t>Сумма (рублей)</t>
  </si>
  <si>
    <t>Подпрограмма «Модернизация объектов коммунальной инфраструктуры»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</si>
  <si>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</si>
  <si>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</si>
  <si>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</si>
  <si>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</si>
  <si>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</si>
  <si>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</si>
  <si>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</si>
  <si>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</si>
  <si>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</si>
  <si>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</si>
  <si>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</si>
  <si>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</si>
  <si>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</si>
  <si>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</si>
  <si>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</si>
  <si>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</si>
  <si>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</si>
  <si>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Администрация  Усть-Абаканского района Республики Хакасия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</si>
  <si>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</si>
  <si>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</si>
  <si>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</si>
  <si>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</si>
  <si>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</si>
  <si>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</si>
  <si>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</si>
  <si>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</si>
  <si>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</si>
  <si>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</si>
  <si>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</si>
  <si>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 xml:space="preserve">Усть-Абаканского района Республики Хакасия 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</si>
  <si>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</si>
  <si>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</si>
  <si>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</si>
  <si>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</si>
  <si>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</si>
  <si>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</si>
  <si>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</si>
  <si>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</si>
  <si>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</si>
  <si>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</si>
  <si>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</si>
  <si>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</si>
  <si>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</si>
  <si>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</si>
  <si>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</si>
  <si>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</si>
  <si>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</si>
  <si>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</si>
  <si>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</si>
  <si>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</si>
  <si>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</si>
  <si>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</si>
  <si>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</si>
  <si>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</si>
  <si>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</si>
  <si>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</si>
  <si>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</si>
  <si>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</si>
  <si>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Мероприятия по защите населения Усть-Абаканского района от чрезвычайных ситуаций, пожарной безопасности и безопасности на водных объектах</t>
  </si>
  <si>
    <t>Мероприятия по поддержке и развитию культуры, искусства и архивного дела</t>
  </si>
  <si>
    <t>Подпрограмма «Профилактика правонарушений, обеспечение безопасности и общественного порядка»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</si>
  <si>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</si>
  <si>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</si>
  <si>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</si>
  <si>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</si>
  <si>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</si>
  <si>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</si>
  <si>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</si>
  <si>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Оказание материальной помощи малообеспеченным категориям населения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</si>
  <si>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</si>
  <si>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</si>
  <si>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</si>
  <si>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</si>
  <si>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</si>
  <si>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</si>
  <si>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Организация школьного питания</t>
  </si>
  <si>
    <t>Мероприятия, направленные на патриотическое воспитание граждан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</si>
  <si>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</si>
  <si>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«Развитие культурного потенциала Усть-Абаканского района»</t>
  </si>
  <si>
    <t>Мероприятия в области молодежной политики</t>
  </si>
  <si>
    <t>Мероприятия по профилактике злоупотребления наркотиками и их незаконного оборота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</si>
  <si>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</si>
  <si>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</si>
  <si>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Мероприятия в сфере физической культуры и спорта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</si>
  <si>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</si>
  <si>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</si>
  <si>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</si>
  <si>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</si>
  <si>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</si>
  <si>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</si>
  <si>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</si>
  <si>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</si>
  <si>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</si>
  <si>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</si>
  <si>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</si>
  <si>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</si>
  <si>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</si>
  <si>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</si>
  <si>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 xml:space="preserve">Образование  </t>
  </si>
  <si>
    <t>Мероприятия в области туризма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</si>
  <si>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</si>
  <si>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</si>
  <si>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</si>
  <si>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Создание условия для обеспечения современного качества образования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</si>
  <si>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</si>
  <si>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</si>
  <si>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</si>
  <si>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</si>
  <si>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</si>
  <si>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</si>
  <si>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</si>
  <si>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</si>
  <si>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</si>
  <si>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</si>
  <si>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</si>
  <si>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</si>
  <si>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</si>
  <si>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</si>
  <si>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</si>
  <si>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</si>
  <si>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</si>
  <si>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</si>
  <si>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</si>
  <si>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Проведение  выборов глав муниципальных образований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</si>
  <si>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</si>
  <si>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</si>
  <si>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Мероприятия в сфере развития и гармонизации межнациональных отношений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</si>
  <si>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</si>
  <si>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</si>
  <si>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</si>
  <si>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</si>
  <si>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</si>
  <si>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</si>
  <si>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</si>
  <si>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</si>
  <si>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</si>
  <si>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</si>
  <si>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</si>
  <si>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</si>
  <si>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</si>
  <si>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70300 01900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</si>
  <si>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</si>
  <si>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</si>
  <si>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</si>
  <si>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</si>
  <si>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</si>
  <si>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</si>
  <si>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</si>
  <si>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</si>
  <si>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</si>
  <si>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</si>
  <si>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30000 00000</t>
  </si>
  <si>
    <t>30100 00000</t>
  </si>
  <si>
    <t>30200 00000</t>
  </si>
  <si>
    <t>41000 00000</t>
  </si>
  <si>
    <t>42000 00000</t>
  </si>
  <si>
    <t>31000 00000</t>
  </si>
  <si>
    <t>44000 00000</t>
  </si>
  <si>
    <t>45000 00000</t>
  </si>
  <si>
    <t>46000 00000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</si>
  <si>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</si>
  <si>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</si>
  <si>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</si>
  <si>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</si>
  <si>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</si>
  <si>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</si>
  <si>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</si>
  <si>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</si>
  <si>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>Обеспечение благоустроенным жильем молодых семей и молодых специалистов, проживающих в сельской местности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</si>
  <si>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</si>
  <si>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</si>
  <si>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 xml:space="preserve">(муниципальным программам Усть-Абаканского района  и непрограммным направлениям деятельности), </t>
  </si>
  <si>
    <t>Подпрограмма «Искусство Усть-Абаканского района»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</si>
  <si>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</si>
  <si>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</si>
  <si>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</si>
  <si>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</si>
  <si>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</si>
  <si>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</si>
  <si>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</si>
  <si>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30101 00000</t>
  </si>
  <si>
    <t>32100 00000</t>
  </si>
  <si>
    <t>32200 00000</t>
  </si>
  <si>
    <t>32300 00000</t>
  </si>
  <si>
    <t>34100 00000</t>
  </si>
  <si>
    <t>34200 00000</t>
  </si>
  <si>
    <t>34300 00000</t>
  </si>
  <si>
    <t>45200 00000</t>
  </si>
  <si>
    <t>45100 00000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</si>
  <si>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</si>
  <si>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</si>
  <si>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</si>
  <si>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</si>
  <si>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</si>
  <si>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</si>
  <si>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</si>
  <si>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</si>
  <si>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34400 00000</t>
  </si>
  <si>
    <t>30201 00000</t>
  </si>
  <si>
    <t>Поддержка субъектов малого и среднего бизнеса</t>
  </si>
  <si>
    <t>31001 00000</t>
  </si>
  <si>
    <t>31001 22020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</si>
  <si>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</si>
  <si>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</si>
  <si>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</si>
  <si>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</si>
  <si>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</si>
  <si>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</si>
  <si>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</si>
  <si>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</si>
  <si>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</si>
  <si>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</si>
  <si>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</si>
  <si>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</si>
  <si>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</si>
  <si>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</si>
  <si>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</si>
  <si>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</si>
  <si>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</si>
  <si>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</si>
  <si>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</si>
  <si>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</si>
  <si>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</si>
  <si>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</si>
  <si>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</si>
  <si>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</si>
  <si>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Включение детей и молодежи в общественную деятельность патриотической направленности</t>
  </si>
  <si>
    <t>Создание условий для защиты населения от чрезвычайных ситуаций</t>
  </si>
  <si>
    <t>33001 00000</t>
  </si>
  <si>
    <t>33001 22080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</si>
  <si>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</si>
  <si>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</si>
  <si>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</si>
  <si>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</si>
  <si>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</si>
  <si>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</si>
  <si>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</si>
  <si>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</si>
  <si>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</si>
  <si>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</si>
  <si>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</si>
  <si>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 xml:space="preserve">Осуществление муниципальных функций в финансовой сфере 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</si>
  <si>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</si>
  <si>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 xml:space="preserve">Дотации  </t>
  </si>
  <si>
    <t>Реализация государственной политики в сфере государственных закупок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</si>
  <si>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</si>
  <si>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</si>
  <si>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</si>
  <si>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Своевременное исполнение долговых обязательств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</si>
  <si>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</si>
  <si>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</si>
  <si>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</si>
  <si>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</si>
  <si>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43101 80290</t>
  </si>
  <si>
    <t>45101 00000</t>
  </si>
  <si>
    <t>Поддержка объектов коммунальной инфраструктуры</t>
  </si>
  <si>
    <t>45101 80140</t>
  </si>
  <si>
    <t>45101 80150</t>
  </si>
  <si>
    <t>42001 00000</t>
  </si>
  <si>
    <t>42002 00000</t>
  </si>
  <si>
    <t>Обеспечение потребности населения в перевозках пассажиров на социально значимых маршрутах</t>
  </si>
  <si>
    <t>41201 00000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</si>
  <si>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</si>
  <si>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</si>
  <si>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</si>
  <si>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</si>
  <si>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</si>
  <si>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34101 00000</t>
  </si>
  <si>
    <t>34101 00980</t>
  </si>
  <si>
    <t>34101 22120</t>
  </si>
  <si>
    <t>Совершенствование библиотечной деятельности</t>
  </si>
  <si>
    <t>34201 00000</t>
  </si>
  <si>
    <t>34201 01080</t>
  </si>
  <si>
    <t>34201 22120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</si>
  <si>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</si>
  <si>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</si>
  <si>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</si>
  <si>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</si>
  <si>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</si>
  <si>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</si>
  <si>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</si>
  <si>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</si>
  <si>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</si>
  <si>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</si>
  <si>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</si>
  <si>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</si>
  <si>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</si>
  <si>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</si>
  <si>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Обеспечение условий развития сферы культуры</t>
  </si>
  <si>
    <t>34401 00000</t>
  </si>
  <si>
    <t>34401 01180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</si>
  <si>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</si>
  <si>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</si>
  <si>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</si>
  <si>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</si>
  <si>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</si>
  <si>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</si>
  <si>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</si>
  <si>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</si>
  <si>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</si>
  <si>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</si>
  <si>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</si>
  <si>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</si>
  <si>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36201 R0820</t>
  </si>
  <si>
    <t>Организация и проведение оздоровительной кампании детей</t>
  </si>
  <si>
    <t>36301 00000</t>
  </si>
  <si>
    <t>36301 00880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</si>
  <si>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</si>
  <si>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</si>
  <si>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</si>
  <si>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</si>
  <si>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</si>
  <si>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Обеспечение мер социальной поддержки специалистов культуры, проживающих в сельской местности</t>
  </si>
  <si>
    <t>36401 14940</t>
  </si>
  <si>
    <t>Осуществление государственных полномочий по выплатам гражданам, имеющим детей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</si>
  <si>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</si>
  <si>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37001 00000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</si>
  <si>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</si>
  <si>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</si>
  <si>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</si>
  <si>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</si>
  <si>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</si>
  <si>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</si>
  <si>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</si>
  <si>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</si>
  <si>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</si>
  <si>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</si>
  <si>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</si>
  <si>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</si>
  <si>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</si>
  <si>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40001 01380</t>
  </si>
  <si>
    <t>Содействие формирования туристической инфраструктуры и материально-технической базы</t>
  </si>
  <si>
    <t>40002 00000</t>
  </si>
  <si>
    <t>40002 22320</t>
  </si>
  <si>
    <t>40003 00000</t>
  </si>
  <si>
    <t>40003 22320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</si>
  <si>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</si>
  <si>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</si>
  <si>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</si>
  <si>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</si>
  <si>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</si>
  <si>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46001 22190</t>
  </si>
  <si>
    <t>46001 80180</t>
  </si>
  <si>
    <t>35003 00000</t>
  </si>
  <si>
    <t>35003 22070</t>
  </si>
  <si>
    <t>Обеспечение развития отрасли физической культуры и спорта</t>
  </si>
  <si>
    <t>Повышение эффективности функционирования агропромышленного комплекса</t>
  </si>
  <si>
    <t>30101 22150</t>
  </si>
  <si>
    <t>30102 00000</t>
  </si>
  <si>
    <t>30102 03500</t>
  </si>
  <si>
    <t>30103 00000</t>
  </si>
  <si>
    <t>30103 22110</t>
  </si>
  <si>
    <t>30103 70240</t>
  </si>
  <si>
    <t>36101 00000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</si>
  <si>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</si>
  <si>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</si>
  <si>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</si>
  <si>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Повышение эффективности деятельности органов местного самоуправления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</si>
  <si>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</si>
  <si>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</si>
  <si>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</si>
  <si>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</si>
  <si>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</si>
  <si>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</si>
  <si>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</si>
  <si>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</si>
  <si>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</si>
  <si>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</si>
  <si>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33001 80230</t>
  </si>
  <si>
    <t>Иные межбюджетные трансферты на повышение квалификации и переподготовку муниципальных служащих и Глав городских и сельских поселений</t>
  </si>
  <si>
    <t>Организация, координация туристической деятельности и продвижения туристического продукта</t>
  </si>
  <si>
    <t>Обеспечение инженерной инфраструктурой земельных участков  под малоэтажное жилищное строительство</t>
  </si>
  <si>
    <t>Иные межбюджетные трансферты  на строительство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</si>
  <si>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Иные межбюджетные трансферты на капитальный ремонт объектов коммунальной инфраструктуры, в т.ч разработка проектно-сметной документации</t>
  </si>
  <si>
    <t>Профилактика злоупотребления наркотическими веществами</t>
  </si>
  <si>
    <t xml:space="preserve">Обеспечение деятельности подведомственных учреждений (муниципальное автономное учреждение "Музей "Древние курганы Салбыкской степи") </t>
  </si>
  <si>
    <t>Повышение квалификации и переподготовка муниципальных служащих и Главы Муниципального Образования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</si>
  <si>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</t>
  </si>
  <si>
    <t>Иные межбюджетные трансферты на строительство и реконструкцию объектов коммунальной инфраструктуры, в том числе разработка проектно-сметной документации</t>
  </si>
  <si>
    <t>34500 00000</t>
  </si>
  <si>
    <t>34501 00000</t>
  </si>
  <si>
    <t>34501 00780</t>
  </si>
  <si>
    <t>34501 22240</t>
  </si>
  <si>
    <t>Подпрограмма «Молодежь Усть-Абаканского района»</t>
  </si>
  <si>
    <t>32301 22280</t>
  </si>
  <si>
    <t>Обеспечение деятельности подведомственных учреждений (МБУДО "Усть-Абаканский ЦДО")</t>
  </si>
  <si>
    <t>Обеспечение деятельности подведомственных учреждений (МБУДО "Усть-Абаканская СШ)</t>
  </si>
  <si>
    <t>Обеспечение деятельности подведомственных учреждений (МБУДО "Усть-Абаканская ДШИ")</t>
  </si>
  <si>
    <t xml:space="preserve">Бюджетные инвестиции </t>
  </si>
  <si>
    <t>42003 00000</t>
  </si>
  <si>
    <t>36201 70180</t>
  </si>
  <si>
    <t>32102 22170</t>
  </si>
  <si>
    <t>Строительство, реконструкция объектов муниципальной собственности, в том числе разработка проектно-сметной документации</t>
  </si>
  <si>
    <t>Мероприятия по подготовке градостроительной документации</t>
  </si>
  <si>
    <t>рублей</t>
  </si>
  <si>
    <t>32201 22410</t>
  </si>
  <si>
    <t>41101 80100</t>
  </si>
  <si>
    <t>Повышение квалификации и переподготовка муниципальных служащих и Главы муниципального образования</t>
  </si>
  <si>
    <t xml:space="preserve">32101 22170 </t>
  </si>
  <si>
    <t>35002 22480</t>
  </si>
  <si>
    <t>Осуществление отдельных государственных полномочий по организации проведения мероприятий по отлову и содержанию безнадзорных животных</t>
  </si>
  <si>
    <t>70700 70260</t>
  </si>
  <si>
    <t>34401 03500</t>
  </si>
  <si>
    <t xml:space="preserve">32102 22170 </t>
  </si>
  <si>
    <t>42005 00000</t>
  </si>
  <si>
    <t>41201 22200</t>
  </si>
  <si>
    <t>Обеспечение деятельности подведомственных учреждений (муниципальное автономное учреждение «Усть-Абаканский загородный лагерь Дружба»</t>
  </si>
  <si>
    <t>Иные межбюджетные трансферты на содержание, капитальный ремонт и  строительство дорог общего пользования, в том числе разработка проектно-сметной документации</t>
  </si>
  <si>
    <t>Обеспечение деятельности подведомственных учреждений (муниципальное бюджетное учреждение культуры "Районный молодёжный ресурсный центр")</t>
  </si>
  <si>
    <t>Организация межмуниципального транспортного обслуживания населения</t>
  </si>
  <si>
    <t>Строительство универсального спортивного зала п. Усть-Абакан</t>
  </si>
  <si>
    <t>35002 42070</t>
  </si>
  <si>
    <t xml:space="preserve">36301 72980 </t>
  </si>
  <si>
    <t>Ремонт загородных детских лагерей оздоровительных лагерей</t>
  </si>
  <si>
    <t xml:space="preserve">36301 S2980 </t>
  </si>
  <si>
    <t>Ремонт загородных детских оздоровительных лагерей (софинансирование)</t>
  </si>
  <si>
    <t>Проведение ремонта загородных детских оздоровительных лагерей</t>
  </si>
  <si>
    <t>Подпрограмма «Профилактика террористической и экстремистской деятельности»</t>
  </si>
  <si>
    <t>39400 00000</t>
  </si>
  <si>
    <t>39401 00000</t>
  </si>
  <si>
    <t>Противодействие терроризму и экстремизму</t>
  </si>
  <si>
    <t>Мероприятия по профилактике терроризма и экстремизма</t>
  </si>
  <si>
    <t>39401 22490</t>
  </si>
  <si>
    <t>Премии и гранты</t>
  </si>
  <si>
    <t>Сумма на 2020 год</t>
  </si>
  <si>
    <t>Сумма                           на 2020 год</t>
  </si>
  <si>
    <t>Подпрограмма «Наследие Усть-Абаканского района»</t>
  </si>
  <si>
    <t>Подпрограмма «Развитие мер социальной поддержки отдельных категорий граждан в Усть-Абаканском районе»</t>
  </si>
  <si>
    <t>Подпрограмма «Обеспечение жильем молодых семей»</t>
  </si>
  <si>
    <t>Подпрограмма «Развитие дошкольного, начального общего, основного общего, среднего общего образования»</t>
  </si>
  <si>
    <t>Подпрограмма «Развитие системы дополнительного образования детей, выявления и поддержки одаренных детей и молодежи»</t>
  </si>
  <si>
    <t>Подпрограмма «Патриотическое воспитание граждан»</t>
  </si>
  <si>
    <t>Подпрограмма «Организация отдыха и оздоровления детей в Усть-Абаканском районе»</t>
  </si>
  <si>
    <t>Подпрограмма «Социальная поддержка детей-сирот и детей, оставшихся без попечения родителей»</t>
  </si>
  <si>
    <t>Подпрограмма «Повышение безопасности дорожного движения»</t>
  </si>
  <si>
    <t>Подпрограмма «Создание общих условий функционирования сельского хозяйства и регулирования рынков сельскохозяйственной продукции, сырья и продовольствия»</t>
  </si>
  <si>
    <t>Другие вопросы в области жилищно-комунального хозяйства</t>
  </si>
  <si>
    <t>32201 22180</t>
  </si>
  <si>
    <t>42004 00000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</si>
  <si>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</si>
  <si>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 xml:space="preserve"> Усть-Абаканского района Республики Хакасия</t>
  </si>
  <si>
    <t>810</t>
  </si>
  <si>
    <t>43301 L4970</t>
  </si>
  <si>
    <t>Реализация мероприятий по обеспечению жильем молодых семей</t>
  </si>
  <si>
    <t>Мероприятия, направленные на решение вопросов по организации теплоснабжения в период прохождения отопительного периода</t>
  </si>
  <si>
    <t>Дополнительное образование детей</t>
  </si>
  <si>
    <t>34101 22480</t>
  </si>
  <si>
    <t>Обеспечение деятельности подведомственных учреждений (МБУДО "Усть-Абаканская СШ")</t>
  </si>
  <si>
    <t>Сумма на 2021 год</t>
  </si>
  <si>
    <t>Сумма                           на 2021 год</t>
  </si>
  <si>
    <t>32101 22170</t>
  </si>
  <si>
    <t xml:space="preserve">  </t>
  </si>
  <si>
    <t>321Е1 55200</t>
  </si>
  <si>
    <t>321Е1 00000</t>
  </si>
  <si>
    <t>Региональный проект Республики Хакасия "Современная школа"</t>
  </si>
  <si>
    <t xml:space="preserve">36301 22180 </t>
  </si>
  <si>
    <t>Региональный проект Республики Хакасия "Содействие занятости женщин - создание условий дошкольного образования для детей в возрасте до трех лет"</t>
  </si>
  <si>
    <t>321P2 00000</t>
  </si>
  <si>
    <t>321P2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</si>
  <si>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</si>
  <si>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880</t>
  </si>
  <si>
    <t>Специальные расходы</t>
  </si>
  <si>
    <t>321E2 50970</t>
  </si>
  <si>
    <t>Региональный проект Республики Хакасия "Успех каждого ребенка"</t>
  </si>
  <si>
    <t>321E2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</si>
  <si>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</si>
  <si>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подведомственных учреждений (муниципальное бюджетное учреждение культуры "Усть-Абаканский районный историко-краеведческий музей")</t>
  </si>
  <si>
    <t>34202 01780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</si>
  <si>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(средства местного бюджета)</t>
  </si>
  <si>
    <t>Субсидии муниципальным казенным предприятиям на капитальный ремонт объектов коммунальной инфраструктуры</t>
  </si>
  <si>
    <t xml:space="preserve">                                          Приложение 1</t>
  </si>
  <si>
    <t xml:space="preserve">                                          Усть-Абаканского района Республики Хакасия </t>
  </si>
  <si>
    <t>Код бюджетной классификации</t>
  </si>
  <si>
    <t>911 01 02 00 00 00 0000 000</t>
  </si>
  <si>
    <t>911 01 02 00 00 00 0000 700</t>
  </si>
  <si>
    <t>Получение кредитов от кредитных организаций  в валюте Российской Федерации</t>
  </si>
  <si>
    <t>911 01 02 00 00 05 0000 710</t>
  </si>
  <si>
    <t>Получение кредитов от кредитных организаций бюджетами муниципальных районов в валюте Российской Федерации</t>
  </si>
  <si>
    <t>911 01 02 00 00 00 0000 800</t>
  </si>
  <si>
    <t>Погашение кредитов, предоставленных кредитными организациями в валюте Российской Федерации</t>
  </si>
  <si>
    <t>911 01 02 00 00 05 0000 810</t>
  </si>
  <si>
    <t>Погашение бюджетами муниципальных районов кредитов от кредитных организаций в валюте Российской Федерации</t>
  </si>
  <si>
    <t>911 01 03 00 00 00 0000 000</t>
  </si>
  <si>
    <t xml:space="preserve">Бюджетные кредиты от других бюджетов бюджетной системы Российской Федерации </t>
  </si>
  <si>
    <t>911 01 03 01 00 00 0000 700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</si>
  <si>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</si>
  <si>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911 01 03 01 00 05 0000 710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</si>
  <si>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</si>
  <si>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</si>
  <si>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</si>
  <si>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911 01 03 01 00 05 0000 810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</si>
  <si>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</si>
  <si>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911 01 05 00 00 00 0000 000</t>
  </si>
  <si>
    <t>Изменение остатков средств на счетах по учету средств бюджетов</t>
  </si>
  <si>
    <t>911 01 05 02 00 00 0000 500</t>
  </si>
  <si>
    <t xml:space="preserve">Увеличение прочих остатков средств бюджетов </t>
  </si>
  <si>
    <t>911 01 05 02 01 00 0000 510</t>
  </si>
  <si>
    <t xml:space="preserve">Увеличение прочих остатков денежных средств бюджетов </t>
  </si>
  <si>
    <t>911 01 05 02 01 05 0000 510</t>
  </si>
  <si>
    <t>Увеличение прочих остатков  денежных средств бюджетов муниципальных районов</t>
  </si>
  <si>
    <t>911 01 05 02 00 00 0000 600</t>
  </si>
  <si>
    <t xml:space="preserve">Уменьшение прочих остатков средств бюджетов </t>
  </si>
  <si>
    <t>911 01 05 02 01 00 0000 610</t>
  </si>
  <si>
    <t xml:space="preserve">Уменьшение прочих остатков денежных средств бюджетов </t>
  </si>
  <si>
    <t>911 01 05 02 01 05 0000 610</t>
  </si>
  <si>
    <t>Уменьшение прочих остатков  денежных средств бюджетов муниципальных районов</t>
  </si>
  <si>
    <t>Всего источников финансирования</t>
  </si>
  <si>
    <t>ДОХОДЫ</t>
  </si>
  <si>
    <t xml:space="preserve"> бюджета муниципального образования Усть-Абаканский район Республики Хакасия</t>
  </si>
  <si>
    <t xml:space="preserve">Код бюджетной классификации </t>
  </si>
  <si>
    <t xml:space="preserve">Наименование доходов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</si>
  <si>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</si>
  <si>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</si>
  <si>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</si>
  <si>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</si>
  <si>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</si>
  <si>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</si>
  <si>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</si>
  <si>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</si>
  <si>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</si>
  <si>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</si>
  <si>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</si>
  <si>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</si>
  <si>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</si>
  <si>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 xml:space="preserve">НАЛОГИ НА ТОВАРЫ (РАБОТЫ,УСЛУГИ), РЕАЛИЗУЕМЫЕ НА ТЕРРИТОРИИ РОССИЙСКОЙ ФЕДЕРАЦИИ 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</si>
  <si>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</si>
  <si>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</si>
  <si>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</si>
  <si>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</si>
  <si>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</si>
  <si>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</si>
  <si>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</si>
  <si>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</si>
  <si>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</si>
  <si>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</si>
  <si>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</si>
  <si>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</si>
  <si>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</si>
  <si>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</si>
  <si>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</si>
  <si>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</si>
  <si>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</si>
  <si>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</si>
  <si>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</si>
  <si>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</si>
  <si>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000 1 05 01010 00 0000 110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</si>
  <si>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</si>
  <si>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</si>
  <si>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</si>
  <si>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</si>
  <si>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</si>
  <si>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</si>
  <si>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</si>
  <si>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</si>
  <si>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</si>
  <si>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</si>
  <si>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</si>
  <si>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</si>
  <si>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</si>
  <si>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</si>
  <si>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</si>
  <si>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</si>
  <si>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</si>
  <si>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</si>
  <si>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</si>
  <si>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</si>
  <si>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000 1 05 03000 01 0000 110</t>
  </si>
  <si>
    <t>Единый сельскохозяйственный налог</t>
  </si>
  <si>
    <t>000 1 05 03010 01 0000 110</t>
  </si>
  <si>
    <t>000 1 05 03020 01 0000 110</t>
  </si>
  <si>
    <t>Единый сельскохозяйственный налог за налоговые периоды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</si>
  <si>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</si>
  <si>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</si>
  <si>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</si>
  <si>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</si>
  <si>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</si>
  <si>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</si>
  <si>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</si>
  <si>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</si>
  <si>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</si>
  <si>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</si>
  <si>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</si>
  <si>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</si>
  <si>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</si>
  <si>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 и выдачей регистрационных знаков, водительских удостоверений</t>
  </si>
  <si>
    <t>000 1 08 07150 01 0000 110</t>
  </si>
  <si>
    <t>Государственная пошлина за выдачу разрешения на установку рекламной контрукции</t>
  </si>
  <si>
    <t>000 1 09 00000 00 0000 000</t>
  </si>
  <si>
    <t>Задолженность и перерасчеты по отмененным налогам , сборам и иным обязательным платежам</t>
  </si>
  <si>
    <t>000 1 09 07000 00 0000 110</t>
  </si>
  <si>
    <t>Прочие налоги и сборы (по отмененным местным налогам и сборам)</t>
  </si>
  <si>
    <t>000 1 09 07030 00 0000 110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</si>
  <si>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</si>
  <si>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000 1 09 07030 05 0000 110 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</si>
  <si>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</si>
  <si>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</si>
  <si>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</si>
  <si>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</si>
  <si>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</si>
  <si>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</si>
  <si>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</si>
  <si>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</si>
  <si>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</si>
  <si>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</si>
  <si>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</si>
  <si>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</si>
  <si>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</si>
  <si>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</si>
  <si>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</si>
  <si>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</si>
  <si>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</si>
  <si>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</si>
  <si>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</si>
  <si>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</si>
  <si>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</si>
  <si>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</si>
  <si>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</si>
  <si>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</si>
  <si>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</si>
  <si>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</si>
  <si>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 xml:space="preserve">Плата за размещение отходов производства </t>
  </si>
  <si>
    <t>000 1 12 01042 01 0000 120</t>
  </si>
  <si>
    <t>Плата за размещение твердых коммунальных расходов</t>
  </si>
  <si>
    <t>000 1 13 00000 00 0000 000</t>
  </si>
  <si>
    <t>ДОХОДЫ ОТ ОКАЗАНИЯ ПЛАТНЫХ УСЛУГ 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</si>
  <si>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</si>
  <si>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</si>
  <si>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</si>
  <si>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</si>
  <si>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</si>
  <si>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</si>
  <si>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000 1 13 02000 00 0000 130</t>
  </si>
  <si>
    <t>Доходы от компенсации затрат государства</t>
  </si>
  <si>
    <t xml:space="preserve">000 1 13 02060 00 0000 130
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</si>
  <si>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</si>
  <si>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</si>
  <si>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</si>
  <si>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</si>
  <si>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</si>
  <si>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</si>
  <si>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</si>
  <si>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000 1 14 00000 00 0000 000</t>
  </si>
  <si>
    <t>ДОХОДЫ ОТ ПРОДАЖИ МАТЕРИАЛЬНЫХ И НЕМАТЕРИАЛЬНЫХ АКТИВОВ</t>
  </si>
  <si>
    <t>Доходы от реализации 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</si>
  <si>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</si>
  <si>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</si>
  <si>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имуществу.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</si>
  <si>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</si>
  <si>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 xml:space="preserve"> 000 114 02053 05 0000 440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</si>
  <si>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</si>
  <si>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</si>
  <si>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</si>
  <si>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</si>
  <si>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</si>
  <si>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</si>
  <si>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</si>
  <si>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</si>
  <si>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</si>
  <si>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</si>
  <si>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автономных учреждений)</t>
  </si>
  <si>
    <t>000 1 14 06025 05 0000 430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</si>
  <si>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</si>
  <si>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000 116 00000 00 0000 000</t>
  </si>
  <si>
    <t>ШТРАФЫ, САНКЦИИ, ВОЗМЕЩЕНИЕ УЩЕРБА</t>
  </si>
  <si>
    <t>000 116 08000 01 0000 140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</si>
  <si>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</si>
  <si>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</si>
  <si>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</si>
  <si>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</si>
  <si>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</si>
  <si>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000 116 06000 01 0000 140</t>
  </si>
  <si>
    <t>Денежные взыскания (штрафы)за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</si>
  <si>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</si>
  <si>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</si>
  <si>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</si>
  <si>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</si>
  <si>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</si>
  <si>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</si>
  <si>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</si>
  <si>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</si>
  <si>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</si>
  <si>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</si>
  <si>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000 116 25060 01 0000 140</t>
  </si>
  <si>
    <t xml:space="preserve">Денежные взыскания (штрафы) за нарушение земельного законодательства </t>
  </si>
  <si>
    <t xml:space="preserve"> 000 116 28000 01 0000 140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</si>
  <si>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</si>
  <si>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000 116 30000 01 0000 140</t>
  </si>
  <si>
    <t xml:space="preserve">Денежные взыскания (штрафы) за правонарушения в области дорожного движения 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</si>
  <si>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</si>
  <si>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</si>
  <si>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</si>
  <si>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</si>
  <si>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000 116 30030 01 0000 140</t>
  </si>
  <si>
    <t xml:space="preserve">Прочие денежные взыскания (штрафы) за правонарушения в области дорожного движения </t>
  </si>
  <si>
    <t>000 116 28000 01 0000 140</t>
  </si>
  <si>
    <t xml:space="preserve">000 116 33000 00 0000 140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</si>
  <si>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</si>
  <si>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000 116 33050 05 0000 140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</si>
  <si>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</si>
  <si>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000 116 35000 00 0000 140 </t>
  </si>
  <si>
    <t>Суммы по искам о возмещении вреда, причиненного окружающей среде</t>
  </si>
  <si>
    <t xml:space="preserve">000 116 35030 05 0000 140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</si>
  <si>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</si>
  <si>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000 116 43000 01 0000 140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</si>
  <si>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статей 20.25 Кодекса Российской Федерации об административных правонарушениях</t>
  </si>
  <si>
    <t>000 116 90000 00 0000 140</t>
  </si>
  <si>
    <t>Прочие поступления от денежных взысканий (штрафов) и иных сумм в возмещение ущерба</t>
  </si>
  <si>
    <t>000 116 90050 05 0000 140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</si>
  <si>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</si>
  <si>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000 118 00000 00 0000 000</t>
  </si>
  <si>
    <t>ДОХОДЫ БЮДЖЕТОВ БЮДЖЕТНОЙ СИСТЕМЫ РОССИЙСКОЙ ФЕДЕРАЦИИ ОТ ВОЗВРАТА ОСТАТКОВ СУБСИДИЙ И СУБВЕНЦИЙ И ИНЫХ МЕЖБЮДЖЕТНЫХ ТРАНСФЕРТОВ, ИМЕЮЩИХ ЦЕЛЕВОЕ НАЗНАЧЕНИЕ, ПРОШЛЫХ ЛЕТ</t>
  </si>
  <si>
    <t>000 118 05000 05 0000 000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</si>
  <si>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</si>
  <si>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000 118 05030 05 0000 151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</si>
  <si>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назначение, прошлых лет из бюджетов поселений</t>
  </si>
  <si>
    <t xml:space="preserve">000 2 00 00000 00 0000 000 </t>
  </si>
  <si>
    <t>БЕЗВОЗМЕЗДНЫЕ ПОСТУПЛЕНИЯ</t>
  </si>
  <si>
    <t>000 2 02 00000 00 0000 000</t>
  </si>
  <si>
    <t>БЕЗВОЗМЕЗДНЫЕ ПОСТУПЛЕНИЯ ОТ ДРУГИХ БЮДЖЕТОВ БЮДЖЕТНОЙ СИСИТЕМЫ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</si>
  <si>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</si>
  <si>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</si>
  <si>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</si>
  <si>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</si>
  <si>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000 2 02 15001 05 0000 150</t>
  </si>
  <si>
    <t>000 2 02 15002 00 0000 150</t>
  </si>
  <si>
    <t>Дотации бюджетам на поддержку мер по обеспечению сбалансированности бюджетов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</si>
  <si>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</si>
  <si>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</si>
  <si>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</si>
  <si>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</si>
  <si>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</si>
  <si>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</si>
  <si>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</si>
  <si>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</si>
  <si>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000 2 02 20051 00 0000 151</t>
  </si>
  <si>
    <t>Субсидии  бюджетам на реализацию федеральных целевых программ</t>
  </si>
  <si>
    <t>000 2 02 20051 05 0000 151</t>
  </si>
  <si>
    <t>Субсидии бюджетам муниципальных районов на реализацию федеральных целевых программ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</si>
  <si>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</si>
  <si>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</si>
  <si>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</si>
  <si>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</si>
  <si>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000 2 02 20298 00 0000 151</t>
  </si>
  <si>
    <t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</si>
  <si>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000 2 02 20298 05 0000 151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</si>
  <si>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</si>
  <si>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</si>
  <si>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</si>
  <si>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000 2 02 20299 05 0000 151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</si>
  <si>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</si>
  <si>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000 2 02 20302 00 0000 151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</si>
  <si>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</si>
  <si>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000 2 02 20302 05 0000 151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</si>
  <si>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</si>
  <si>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000 2 02 25027 00 0000 151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</si>
  <si>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</si>
  <si>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</si>
  <si>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</si>
  <si>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000 2 02 25064 00 0000 151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</si>
  <si>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</si>
  <si>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000 2 02 25064 05 0000 151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</si>
  <si>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</si>
  <si>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</si>
  <si>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</si>
  <si>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</si>
  <si>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</si>
  <si>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000 2 02 25232 00 0000 150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</si>
  <si>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</si>
  <si>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000 2 02 25232 05 0000 150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</si>
  <si>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</si>
  <si>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</si>
  <si>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</si>
  <si>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</si>
  <si>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</si>
  <si>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</si>
  <si>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</si>
  <si>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</si>
  <si>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</si>
  <si>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000 2 02 25519 00 0000 150</t>
  </si>
  <si>
    <t>Субсидия бюджетам на поддержку отрасли культуры</t>
  </si>
  <si>
    <t>000 2 02 25519 05 0000 150</t>
  </si>
  <si>
    <t>Субсидия бюджетам муниципальных районов на поддержку отрасли культуры</t>
  </si>
  <si>
    <t>000 202 25520 00 0000 150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</si>
  <si>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</si>
  <si>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000 202 25520 05 0000 150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</si>
  <si>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</si>
  <si>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000 2 02 25527 00 0000 151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</si>
  <si>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</si>
  <si>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000 2 02 25527 05 0000 151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</si>
  <si>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</si>
  <si>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</si>
  <si>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</si>
  <si>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</si>
  <si>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000 2 02 25558 00 0000 151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</si>
  <si>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</si>
  <si>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</si>
  <si>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</si>
  <si>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000 2 02 25567 00 0000 150</t>
  </si>
  <si>
    <t>Субсидии бюджетам на реализацию мероприятий по устойчивому развитию сельских территорий</t>
  </si>
  <si>
    <t>000 2 02 25567 05 0000 150</t>
  </si>
  <si>
    <t>Субсидии бюджетам муниципальных районов на реализацию мероприятий по устойчивому развитию сельских территорий</t>
  </si>
  <si>
    <t>000 2 02 27567 00 0000 150</t>
  </si>
  <si>
    <t>Субсидии бюджетам на софинансирование капитальных вложений в объекты государственной (муниципальной)  собственности в рамках обеспечения устойчивого развития сельских территорий</t>
  </si>
  <si>
    <t>000 2 02 27567 05 0000 150</t>
  </si>
  <si>
    <t>Субсидии бюджетам муниципальных районов на софинансирование капитальных вложений в объекты государственной (муниципальной)  собственности в рамках обеспечения устойчивого развития сельских территорий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</si>
  <si>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</si>
  <si>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</si>
  <si>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</si>
  <si>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</si>
  <si>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000 2 02 30000 00 0000 150</t>
  </si>
  <si>
    <t>СУБВЕНЦИИ БЮДЖЕТАМ БЮДЖЕТНОЙ СИСТЕМЫ РОССИЙСКОЙ ФЕДЕРАЦИИ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</si>
  <si>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</si>
  <si>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</si>
  <si>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</si>
  <si>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</si>
  <si>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000 2 02 03002 00 0000 151</t>
  </si>
  <si>
    <t>Субвенции бюджетам на осуществление полномочий по подготовке проведения статистический переписей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</si>
  <si>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</si>
  <si>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статистический переписей</t>
  </si>
  <si>
    <t>000 2 02 03021 00 0000 151</t>
  </si>
  <si>
    <t>Субвенции бюджетам  муниципальных образований на ежемесячное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</si>
  <si>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</si>
  <si>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</si>
  <si>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</si>
  <si>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</si>
  <si>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</si>
  <si>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</si>
  <si>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</si>
  <si>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</si>
  <si>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</si>
  <si>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</si>
  <si>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</si>
  <si>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</si>
  <si>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</si>
  <si>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</si>
  <si>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</si>
  <si>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</si>
  <si>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</si>
  <si>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</si>
  <si>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</si>
  <si>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</si>
  <si>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</si>
  <si>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</si>
  <si>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000 2 02 35250 00 0000 150</t>
  </si>
  <si>
    <t>Субвенции бюджетам на оплату жилищно-коммунальных услуг отдельным категориям граждан</t>
  </si>
  <si>
    <t>000 2 02 35250  05 0000 150</t>
  </si>
  <si>
    <t>Субвенции бюджетам муниципальных районов на оплату жилищно-коммунальных услуг отдельным категориям граждан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</si>
  <si>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</si>
  <si>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</si>
  <si>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</si>
  <si>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</si>
  <si>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</si>
  <si>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</si>
  <si>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</si>
  <si>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</si>
  <si>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</si>
  <si>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</si>
  <si>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000 2 02 45144 00 0000 151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</si>
  <si>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</si>
  <si>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000 2 02 45144 05 0000 151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</si>
  <si>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</si>
  <si>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000 2 02 45147 00 0000 151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</si>
  <si>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</si>
  <si>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000 2 02 45147 05 0000 151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</si>
  <si>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</si>
  <si>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000 2 02 45148 00 0000 151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</si>
  <si>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</si>
  <si>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000 2 02 45148 05 0000 151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</si>
  <si>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</si>
  <si>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000 2 02 49999 00 0000 150</t>
  </si>
  <si>
    <t>Прочие межбюджетные трансферты, передаваемые бюджетам</t>
  </si>
  <si>
    <t>000 2 02 49999 05 0000 150</t>
  </si>
  <si>
    <t>Прочие межбюджетные трансферты, передаваемые бюджетам муниципальных районов</t>
  </si>
  <si>
    <t>000 2 07 00000 00 0000 000</t>
  </si>
  <si>
    <t>ПРОЧИЕ БЕЗВОЗМЕЗДНЫЕ ПОСТУПЛЕНИЯ</t>
  </si>
  <si>
    <t>000 2 07 05000 05 0000 150</t>
  </si>
  <si>
    <t xml:space="preserve">Прочие безвозмездные поступления в бюджеты муниципальных районов </t>
  </si>
  <si>
    <t>000 2 07 05030 05 0000 150</t>
  </si>
  <si>
    <t>000 8 50 00000 00 0000 000</t>
  </si>
  <si>
    <t>ВСЕГО ДОХОДОВ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</si>
  <si>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</si>
  <si>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</si>
  <si>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</si>
  <si>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</si>
  <si>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</si>
  <si>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</si>
  <si>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 xml:space="preserve">Доходы для дефицита </t>
  </si>
  <si>
    <t>Дефицит 10%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</si>
  <si>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</si>
  <si>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</si>
  <si>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</si>
  <si>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</si>
  <si>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</si>
  <si>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</si>
  <si>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</si>
  <si>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</si>
  <si>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</si>
  <si>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45101 22430</t>
  </si>
  <si>
    <t>Обеспечение обслуживания, содержания и распоряжения  муниципальной собственностью</t>
  </si>
  <si>
    <t>Обслуживание, содержание и распоряжение  муниципальной собственностью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</si>
  <si>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</si>
  <si>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ИТОГО:</t>
  </si>
  <si>
    <t>Сумма на 2022 год</t>
  </si>
  <si>
    <t xml:space="preserve">                                          Хакасия   на 2020 год и плановый период 2021 и 2022 годов",</t>
  </si>
  <si>
    <t>Источники финансирования  дефицита бюджета муниципального образования                                                                                                             Усть-Абаканский район Республики Хакасия на 2020 год</t>
  </si>
  <si>
    <t>Сумма  на 2020 год</t>
  </si>
  <si>
    <t>Сумма   на 2021 год</t>
  </si>
  <si>
    <t xml:space="preserve">на  2020 год </t>
  </si>
  <si>
    <t>Сумма                           на 2022 год</t>
  </si>
  <si>
    <t>Хакасия   на 2020 год и плановый период 2021 и 2022 годов",</t>
  </si>
  <si>
    <t>Распределение бюджетных ассигнований по разделам, подразделам классификации расходов  бюджета  муниципального образования                                                Усть-Абаканский район Республики Хакасия на 2020 год</t>
  </si>
  <si>
    <t>Хакасия   на 2020  год и плановый период 2021 и 2022 годов",</t>
  </si>
  <si>
    <t>Сумма   на 2022 год</t>
  </si>
  <si>
    <t>по группам,  подгруппам и статьям кодов классификации доходов на 2020 год</t>
  </si>
  <si>
    <t>муниципального образования  Усть-Абаканский район Республики Хакасия на 2020 год</t>
  </si>
  <si>
    <t xml:space="preserve">Методика </t>
  </si>
  <si>
    <t>расчета размера дотаций бюджетам поселений</t>
  </si>
  <si>
    <t xml:space="preserve"> за счет средств Республиканского бюджета </t>
  </si>
  <si>
    <t>Республики Хакасия</t>
  </si>
  <si>
    <t>1. Настоящая Методика определяет процедуру расчета и распределения дотаций органами местного самоуправления Усть-Абаканского района  Республики Хакасия в целях выравнивания бюджетной обеспеченности поселений, входящих в состав Усть-Абаканского района Республики Хакасия за счет субвенций из Республиканского бюджета.</t>
  </si>
  <si>
    <t>Выравнивание бюджетной обеспеченности поселений заключается в повышении уровня расчетной бюджетной обеспеченности поселений до максимально возможного уровня исходя из численности потребителей муниципальных услуг поселения в расчете на одного жителя.</t>
  </si>
  <si>
    <t>Расчетные показатели, используемые в рамках настоящей Методики, являются оценочными и не определяют конкретные объемы местных бюджетов на очередной финансовый год и плановый период.</t>
  </si>
  <si>
    <t>Показатели, используемые в настоящей Методике, отражают данные статистической отчетности по Республике Хакасия на 1 января года, предшествующего планируемому финансовому году.</t>
  </si>
  <si>
    <t>Полученные муниципальным районом субвенции, передаваемые для осуществления государственных полномочий по предоставлению дотаций бюджетам поселений, подлежат делению на стимулирующую часть (Фст) и выравнивающую часть (Фвр):</t>
  </si>
  <si>
    <t xml:space="preserve">    Фсубв = Фст   +  Фвр , где:</t>
  </si>
  <si>
    <t>Фсубв     - субвенции, передаваемые району для осуществления государственных полномочий по предоставлению дотации бюджетам поселений;</t>
  </si>
  <si>
    <t>Фст   - объем стимулирующей части субвенций, рассчитанной исходя из численности жителей поселений;</t>
  </si>
  <si>
    <t>Фвр  - объем выравнивающей части субвенций.</t>
  </si>
  <si>
    <t xml:space="preserve">     </t>
  </si>
  <si>
    <t>2. Порядок расчета, применяемый в Методике</t>
  </si>
  <si>
    <t xml:space="preserve">    Настоящая Методика включает следующие этапы:</t>
  </si>
  <si>
    <t xml:space="preserve">    1) определение объема структурных частей субвенций;</t>
  </si>
  <si>
    <r>
      <t xml:space="preserve">    2) распределение средств стимулирующей части субвенций (Ф</t>
    </r>
    <r>
      <rPr>
        <vertAlign val="subscript"/>
        <sz val="13"/>
        <rFont val="Times New Roman"/>
        <family val="1"/>
      </rPr>
      <t>ст</t>
    </r>
    <r>
      <rPr>
        <sz val="13"/>
        <rFont val="Times New Roman"/>
        <family val="1"/>
      </rPr>
      <t xml:space="preserve">  );</t>
    </r>
  </si>
  <si>
    <r>
      <t xml:space="preserve">    3) распределение средств выравнивающей части субвенций (Ф</t>
    </r>
    <r>
      <rPr>
        <vertAlign val="subscript"/>
        <sz val="13"/>
        <rFont val="Times New Roman"/>
        <family val="1"/>
      </rPr>
      <t>вр</t>
    </r>
    <r>
      <rPr>
        <sz val="13"/>
        <rFont val="Times New Roman"/>
        <family val="1"/>
      </rPr>
      <t>);</t>
    </r>
  </si>
  <si>
    <t xml:space="preserve">    4) расчет заменяющих дотации дополнительных  нормативов отчислений от налога на доходы физических лиц;</t>
  </si>
  <si>
    <t xml:space="preserve">    5) определение общего объема дотации поселению.</t>
  </si>
  <si>
    <t>2.1. Определение объема структурных частей Фонда</t>
  </si>
  <si>
    <r>
      <t xml:space="preserve">        2.1.1.  Объем   средств, стимулирующей   части  субвенций  (Ф</t>
    </r>
    <r>
      <rPr>
        <vertAlign val="subscript"/>
        <sz val="13"/>
        <rFont val="Times New Roman"/>
        <family val="1"/>
      </rPr>
      <t>ст</t>
    </r>
    <r>
      <rPr>
        <sz val="13"/>
        <rFont val="Times New Roman"/>
        <family val="1"/>
      </rPr>
      <t>) определяется по следующей формуле:</t>
    </r>
  </si>
  <si>
    <t xml:space="preserve">        Фсубв    - субвенции, передаваемые району для осуществления государственных полномочий по предоставлению дотаций бюджетам поселений;</t>
  </si>
  <si>
    <t xml:space="preserve">        D   -   доля   субвенций,   распределяемая  исходя  из  постоянной численности  жителей  поселений  Республики Хакасия и утверждаемая решением о районном бюджете на очередной финансовый год и плановый период.</t>
  </si>
  <si>
    <t xml:space="preserve">        2.1.2.  Объем   средств   выравнивающей   части    субвенций  (Фвр) определяется по следующей формуле:</t>
  </si>
  <si>
    <t xml:space="preserve">   </t>
  </si>
  <si>
    <t xml:space="preserve">        Фвр  = Фсубв  - Фст, где:</t>
  </si>
  <si>
    <t xml:space="preserve">        Фсубв    - средства  республиканского бюджета  Республики Хакасия, передаваемые району для осуществления государственных полномочий по предоставлению дотаций бюджетам поселений;</t>
  </si>
  <si>
    <t xml:space="preserve">        Фст   - объем стимулирующей части субвенций, рассчитанный исходя  из численности жителей поселений.</t>
  </si>
  <si>
    <t>2.2. Распределение средств стимулирующей части субвенций</t>
  </si>
  <si>
    <t>Объем дотации для i-го поселения из стимулирующей части  Фонда (Д1i) определяется по следующей формуле:</t>
  </si>
  <si>
    <r>
      <t xml:space="preserve">        Ф</t>
    </r>
    <r>
      <rPr>
        <vertAlign val="subscript"/>
        <sz val="13"/>
        <rFont val="Times New Roman"/>
        <family val="1"/>
      </rPr>
      <t>ст</t>
    </r>
    <r>
      <rPr>
        <sz val="13"/>
        <rFont val="Times New Roman"/>
        <family val="1"/>
      </rPr>
      <t xml:space="preserve">  - объем стимулирующей части субвенций, рассчитанный исходя  из численности жителей поселений;</t>
    </r>
  </si>
  <si>
    <t xml:space="preserve">       Ni - численность постоянного населения i-го поселения;</t>
  </si>
  <si>
    <t xml:space="preserve">      </t>
  </si>
  <si>
    <t>2.3. Распределение средств выравнивающей части субвенций</t>
  </si>
  <si>
    <t xml:space="preserve">         Объем дотаций для i-го поселения из выравнивающей части субвенций (Д2i) определяется исходя из оценки расходных потребностей на выполнение полномочий органов местного самоуправления поселений, входящих в состав муниципального района, и оценки налоговых и неналоговых доходов поселений с учетом дотаций из стимулирующей части фонда.</t>
  </si>
  <si>
    <t>Объем дотаций для i-го поселения из  выравнивающей части субвенций (Д2i) осуществляется в следующей последовательности:</t>
  </si>
  <si>
    <t>1) определение индекса расходных потребностей поселения;</t>
  </si>
  <si>
    <t>2) определение бюджетной обеспеченности поселения и средней бюджетной обеспеченности поселений района;</t>
  </si>
  <si>
    <t>3) определение объема дотации из выравнивающей части Фонда.</t>
  </si>
  <si>
    <t>2.3.1. Определение индекса расходных потребностей поселения</t>
  </si>
  <si>
    <t>Индекс расходных потребностей i-го поселения (ИРПi) рассчитывается по следующей формуле:</t>
  </si>
  <si>
    <t>КПР1i - поправочный коэффициент расходных потребностей, учитывающий среднее расстояние от населенных пунктов i-го поселения до районного центра;</t>
  </si>
  <si>
    <t>КПР2i - поправочный коэффициент расходных потребностей, учитывающий обеспеченность населения i-го поселения муниципальными учреждениями;</t>
  </si>
  <si>
    <t>КПР3i - поправочный коэффициент расходных потребностей, учитывающий различный тип поселений (городское, сельское) на территории муниципального района;</t>
  </si>
  <si>
    <t>КПР4i - поправочный коэффициент расходных потребностей, учитывающий площадь благоустроенного жилого фонда i-го поселения;</t>
  </si>
  <si>
    <t>КПР5i - поправочный коэффициент расходных потребностей, учитывающий площадь населенных пунктов  i-го поселения;</t>
  </si>
  <si>
    <t>m - количество поправочных коэффициентов, участвующих при расчете соответствующего ИРПi.</t>
  </si>
  <si>
    <r>
      <t>2.3.1.1</t>
    </r>
    <r>
      <rPr>
        <sz val="13"/>
        <rFont val="Times New Roman"/>
        <family val="1"/>
      </rPr>
      <t>. Поправочный коэффициент расходных потребностей, учитывающий среднее расстояние от населенных пунктов i-го поселения до районного центра, рассчитывается по следующей формуле:</t>
    </r>
  </si>
  <si>
    <t>В случае отсутствия у i-го поселения населенных пунктов, удаленных от районного центра, поправочный коэффициент расходных потребностей, учитывающий среднее расстояние населенных пунктов i-го поселения до районного центра (КПР1i), равен 1.</t>
  </si>
  <si>
    <r>
      <t>2.3.1.2.</t>
    </r>
    <r>
      <rPr>
        <sz val="13"/>
        <rFont val="Times New Roman"/>
        <family val="1"/>
      </rPr>
      <t xml:space="preserve"> Поправочный коэффициент расходных потребностей, учитывающий обеспеченность населения i-го поселения муниципальными учреждениями, рассчитывается по следующей формуле:</t>
    </r>
  </si>
  <si>
    <t xml:space="preserve">    Ni - численность постоянного населения i-го поселения;</t>
  </si>
  <si>
    <r>
      <t xml:space="preserve">    Q</t>
    </r>
    <r>
      <rPr>
        <vertAlign val="subscript"/>
        <sz val="13"/>
        <rFont val="Times New Roman"/>
        <family val="1"/>
      </rPr>
      <t>бу</t>
    </r>
    <r>
      <rPr>
        <sz val="13"/>
        <rFont val="Times New Roman"/>
        <family val="1"/>
      </rPr>
      <t xml:space="preserve"> i - количество муниципальных учреждений i-го поселения;</t>
    </r>
  </si>
  <si>
    <t xml:space="preserve">    </t>
  </si>
  <si>
    <r>
      <t>2.3.1.3.</t>
    </r>
    <r>
      <rPr>
        <sz val="13"/>
        <rFont val="Times New Roman"/>
        <family val="1"/>
      </rPr>
      <t xml:space="preserve"> Поправочный коэффициент расходных потребностей, учитывающий различный тип поселений (городское, сельское) на территории муниципального района, рассчитывается по следующей формуле:</t>
    </r>
  </si>
  <si>
    <t>Гi - доля городского населения i-го поселения в общей численности населения поселения;</t>
  </si>
  <si>
    <t>РГ - поправочный коэффициент расходных потребностей для городского населения;</t>
  </si>
  <si>
    <t>Сi - доля сельского населения i-го поселения в общей численности населения поселения;</t>
  </si>
  <si>
    <t>РС - поправочный коэффициент расходных потребностей для сельского населения.</t>
  </si>
  <si>
    <t>При этом должны выполняться следующие соотношения:</t>
  </si>
  <si>
    <t>Гi + Сi = l,</t>
  </si>
  <si>
    <t>Г - доля городского населения муниципального района (всех поселений) в общей численности населения муниципального района;</t>
  </si>
  <si>
    <t>С - доля сельского населения муниципального района (всех поселений) в общей численности населения муниципального района.</t>
  </si>
  <si>
    <r>
      <t>2.3.1.4.</t>
    </r>
    <r>
      <rPr>
        <sz val="13"/>
        <rFont val="Times New Roman"/>
        <family val="1"/>
      </rPr>
      <t xml:space="preserve"> Поправочный коэффициент расходных потребностей, учитывающий площадь благоустроенного жилого фонда i-го поселения</t>
    </r>
  </si>
  <si>
    <r>
      <t xml:space="preserve">    </t>
    </r>
    <r>
      <rPr>
        <sz val="14"/>
        <rFont val="Times New Roman"/>
        <family val="1"/>
      </rPr>
      <t>S</t>
    </r>
    <r>
      <rPr>
        <sz val="13"/>
        <rFont val="Times New Roman"/>
        <family val="1"/>
      </rPr>
      <t>бж i – площадь благоустроенного жилого фонда i-го поселения;</t>
    </r>
  </si>
  <si>
    <t>В случае отсутствия у i-го поселения благоустроенного жилого фонда, поправочный коэффициент расходных потребностей, учитывающий площадь благоустроенного жилого фонда (КПР4i), равен 1.</t>
  </si>
  <si>
    <r>
      <t>2.3.1.5.</t>
    </r>
    <r>
      <rPr>
        <sz val="13"/>
        <rFont val="Times New Roman"/>
        <family val="1"/>
      </rPr>
      <t xml:space="preserve"> Поправочный коэффициент расходных потребностей, учитывающий площадь населенных пунктов i-го поселения муниципальными учреждениями, рассчитывается по следующей формуле:</t>
    </r>
  </si>
  <si>
    <t xml:space="preserve">    Si – площадь населенных пунктов i-го поселения;</t>
  </si>
  <si>
    <t>2.3.2. Определение бюджетной обеспеченности поселения и средней бюджетной обеспеченности поселений района</t>
  </si>
  <si>
    <r>
      <t xml:space="preserve">    2.3.2.1</t>
    </r>
    <r>
      <rPr>
        <sz val="13"/>
        <rFont val="Times New Roman"/>
        <family val="1"/>
      </rPr>
      <t>.  Бюджетная   обеспеченность   i-го  поселения   (БОi) определяется по следующей формуле:</t>
    </r>
  </si>
  <si>
    <t xml:space="preserve">    ДПi - доходный потенциал i-го поселения;</t>
  </si>
  <si>
    <t xml:space="preserve">    ИРПi - индекс расходных потребностей i-го поселения;</t>
  </si>
  <si>
    <t xml:space="preserve">    Ni - численность постоянного населения i-го поселения.</t>
  </si>
  <si>
    <t xml:space="preserve">    Доходный   потенциал  i-го  поселения  (ДПi)  определяется  по следующей формуле:</t>
  </si>
  <si>
    <r>
      <t xml:space="preserve">    ДПi = НПi +Нд+ Д</t>
    </r>
    <r>
      <rPr>
        <vertAlign val="subscript"/>
        <sz val="13"/>
        <rFont val="Times New Roman"/>
        <family val="1"/>
      </rPr>
      <t>1i</t>
    </r>
    <r>
      <rPr>
        <sz val="13"/>
        <rFont val="Times New Roman"/>
        <family val="1"/>
      </rPr>
      <t xml:space="preserve"> , где:</t>
    </r>
  </si>
  <si>
    <t xml:space="preserve">    НПi - налоговый потенциал i-го поселения;</t>
  </si>
  <si>
    <t xml:space="preserve">    Нд – неналоговые доходы i-го поселения;</t>
  </si>
  <si>
    <r>
      <t xml:space="preserve">    Д</t>
    </r>
    <r>
      <rPr>
        <vertAlign val="sub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i - объем дотации для i-го поселения  из стимулирующей части Фонда.</t>
    </r>
  </si>
  <si>
    <r>
      <t xml:space="preserve">    2.3.2.2.</t>
    </r>
    <r>
      <rPr>
        <sz val="13"/>
        <rFont val="Times New Roman"/>
        <family val="1"/>
      </rPr>
      <t xml:space="preserve">  Средняя  бюджетная  обеспеченность  поселений района (БО</t>
    </r>
    <r>
      <rPr>
        <vertAlign val="subscript"/>
        <sz val="13"/>
        <rFont val="Times New Roman"/>
        <family val="1"/>
      </rPr>
      <t>пр</t>
    </r>
    <r>
      <rPr>
        <sz val="13"/>
        <rFont val="Times New Roman"/>
        <family val="1"/>
      </rPr>
      <t>) рассчитывается по следующей формуле:</t>
    </r>
  </si>
  <si>
    <r>
      <t xml:space="preserve">        </t>
    </r>
    <r>
      <rPr>
        <sz val="14"/>
        <rFont val="Times New Roman"/>
        <family val="1"/>
      </rPr>
      <t>БО</t>
    </r>
    <r>
      <rPr>
        <vertAlign val="subscript"/>
        <sz val="14"/>
        <rFont val="Times New Roman"/>
        <family val="1"/>
      </rPr>
      <t>пр</t>
    </r>
    <r>
      <rPr>
        <sz val="14"/>
        <rFont val="Courier New"/>
        <family val="3"/>
      </rPr>
      <t xml:space="preserve"> </t>
    </r>
    <r>
      <rPr>
        <sz val="10"/>
        <rFont val="Courier New"/>
        <family val="3"/>
      </rPr>
      <t xml:space="preserve"> =  </t>
    </r>
  </si>
  <si>
    <t>2.3.3. Определение объема дотации из выравнивающей части субвенций</t>
  </si>
  <si>
    <t xml:space="preserve">    Объем расчетной дотации  для i-го  поселения  из выравнивающей части субвенций (Д i) определяется по следующей формуле:</t>
  </si>
  <si>
    <t xml:space="preserve">    БОпр  - средняя бюджетная обеспеченность поселений района;</t>
  </si>
  <si>
    <t xml:space="preserve">    БОi - бюджетная обеспеченность i-го поселения;</t>
  </si>
  <si>
    <t xml:space="preserve">    В  случае,   если  суммарный  объем   расчетной  дотации  всем поселениям  района  из выравнивающей  части  субвенций (</t>
  </si>
  <si>
    <t xml:space="preserve">    В  случае,  если  </t>
  </si>
  <si>
    <r>
      <t xml:space="preserve">    Д</t>
    </r>
    <r>
      <rPr>
        <vertAlign val="subscript"/>
        <sz val="13"/>
        <rFont val="Times New Roman"/>
        <family val="1"/>
      </rPr>
      <t>ф</t>
    </r>
    <r>
      <rPr>
        <sz val="13"/>
        <rFont val="Times New Roman"/>
        <family val="1"/>
      </rPr>
      <t xml:space="preserve"> i = </t>
    </r>
  </si>
  <si>
    <r>
      <t xml:space="preserve">    Д</t>
    </r>
    <r>
      <rPr>
        <vertAlign val="subscript"/>
        <sz val="13"/>
        <rFont val="Times New Roman"/>
        <family val="1"/>
      </rPr>
      <t>р</t>
    </r>
    <r>
      <rPr>
        <sz val="13"/>
        <rFont val="Times New Roman"/>
        <family val="1"/>
      </rPr>
      <t>i -  объем   расчетной   дотации   для  i-го  поселения из выравнивающей части субвенций;</t>
    </r>
  </si>
  <si>
    <r>
      <t xml:space="preserve">    Ф</t>
    </r>
    <r>
      <rPr>
        <vertAlign val="subscript"/>
        <sz val="13"/>
        <rFont val="Times New Roman"/>
        <family val="1"/>
      </rPr>
      <t>вр</t>
    </r>
    <r>
      <rPr>
        <sz val="13"/>
        <rFont val="Times New Roman"/>
        <family val="1"/>
      </rPr>
      <t xml:space="preserve">   - объем выравнивающей части субвенций.</t>
    </r>
  </si>
  <si>
    <r>
      <t>2.4.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Определение общего объема дотации поселению</t>
    </r>
  </si>
  <si>
    <t>Объем дотации для каждого поселения (Дi) рассчитывается по следующей формуле:</t>
  </si>
  <si>
    <t xml:space="preserve">    Дi = Д1i + Д2i, где:</t>
  </si>
  <si>
    <t xml:space="preserve">    Д1i - объем дотаций для i-го поселения, исходя из постоянной численности жителей поселений муниципального района;</t>
  </si>
  <si>
    <t xml:space="preserve">    Д2 i -  объем  дотаций  для  i-го   поселения, распределяемый исходя из постоянной численности жителей поселений муниципального района и бюджетной обеспеченности поселений.</t>
  </si>
  <si>
    <t xml:space="preserve">   Фст   = Фсубв      D, где:</t>
  </si>
  <si>
    <t xml:space="preserve">          Ni  - суммарная численность постоянного населения поселений по району.</t>
  </si>
  <si>
    <r>
      <t xml:space="preserve">                      Д1</t>
    </r>
    <r>
      <rPr>
        <vertAlign val="subscript"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i = ,                           где: </t>
    </r>
  </si>
  <si>
    <r>
      <t xml:space="preserve">    ИРП</t>
    </r>
    <r>
      <rPr>
        <vertAlign val="subscript"/>
        <sz val="13"/>
        <rFont val="Times New Roman"/>
        <family val="1"/>
      </rPr>
      <t>i</t>
    </r>
    <r>
      <rPr>
        <sz val="13"/>
        <rFont val="Times New Roman"/>
        <family val="1"/>
      </rPr>
      <t xml:space="preserve"> =                                                                                  , где: </t>
    </r>
  </si>
  <si>
    <t xml:space="preserve">                                                                         , где:</t>
  </si>
  <si>
    <r>
      <t xml:space="preserve">       </t>
    </r>
    <r>
      <rPr>
        <i/>
        <sz val="13"/>
        <rFont val="Times New Roman"/>
        <family val="1"/>
      </rPr>
      <t xml:space="preserve">Li </t>
    </r>
    <r>
      <rPr>
        <sz val="13"/>
        <rFont val="Times New Roman"/>
        <family val="1"/>
      </rPr>
      <t xml:space="preserve">  - среднеарифметическое расстояние населенных пунктов  i-го поселения до районного центра;</t>
    </r>
  </si>
  <si>
    <r>
      <t xml:space="preserve"> L</t>
    </r>
    <r>
      <rPr>
        <i/>
        <vertAlign val="subscript"/>
        <sz val="13"/>
        <rFont val="Times New Roman"/>
        <family val="1"/>
      </rPr>
      <t>ср</t>
    </r>
    <r>
      <rPr>
        <sz val="13"/>
        <rFont val="Times New Roman"/>
        <family val="1"/>
      </rPr>
      <t xml:space="preserve">   - среднеарифметическое расстояние населенных пунктов до районного центра.</t>
    </r>
  </si>
  <si>
    <t>КПР2i =                                                    , где:</t>
  </si>
  <si>
    <t xml:space="preserve">           Ni -  численность  постоянного  населения  поселений  муниципального района;</t>
  </si>
  <si>
    <r>
      <t xml:space="preserve">       Q</t>
    </r>
    <r>
      <rPr>
        <vertAlign val="subscript"/>
        <sz val="13"/>
        <rFont val="Times New Roman"/>
        <family val="1"/>
      </rPr>
      <t>бу</t>
    </r>
    <r>
      <rPr>
        <sz val="13"/>
        <rFont val="Times New Roman"/>
        <family val="1"/>
      </rPr>
      <t xml:space="preserve">  i - суммарное количество муниципальных учреждений поселений муниципального района.</t>
    </r>
  </si>
  <si>
    <t>КПР3i = Гi   РГ + Сi    РС, где:</t>
  </si>
  <si>
    <t>РГ    Г + РС   С = 1, где:</t>
  </si>
  <si>
    <t>Например, если установлено, что расходная потребность в расчете на одного городского жителя превышает расходную потребность на одного сельского жителя на 25%, то РГ = РС     1,25, а доля городского населения составляет 60% от численности всего населения муниципального района, то будут получены следующие значения:</t>
  </si>
  <si>
    <t>1 = 0,6    РС   1,25 + РС     0,4; в результате расчетов РС = 0,870 и РГ = 1,087.</t>
  </si>
  <si>
    <t xml:space="preserve">                                                                       , где:</t>
  </si>
  <si>
    <r>
      <t xml:space="preserve">    S</t>
    </r>
    <r>
      <rPr>
        <sz val="13"/>
        <rFont val="Times New Roman"/>
        <family val="1"/>
      </rPr>
      <t>бж i - суммарная площадь благоустроенного жилого фонда поселений муниципального района.</t>
    </r>
  </si>
  <si>
    <t xml:space="preserve">      Ni -  численность  постоянного  населения  поселений муниципального района;</t>
  </si>
  <si>
    <t>КПР5i =                                      , где:</t>
  </si>
  <si>
    <t xml:space="preserve">      Ni -  численность  постоянного  населения  поселений  муниципального района;</t>
  </si>
  <si>
    <t xml:space="preserve">       Si – площадь населенных пунктов поселений муниципального района.</t>
  </si>
  <si>
    <r>
      <t xml:space="preserve">    БО</t>
    </r>
    <r>
      <rPr>
        <vertAlign val="subscript"/>
        <sz val="13"/>
        <rFont val="Times New Roman"/>
        <family val="1"/>
      </rPr>
      <t>i</t>
    </r>
    <r>
      <rPr>
        <sz val="13"/>
        <rFont val="Times New Roman"/>
        <family val="1"/>
      </rPr>
      <t xml:space="preserve">  =                     , где:</t>
    </r>
  </si>
  <si>
    <t xml:space="preserve">    Др i = (БОпр   - БОi)     ИРПi    Ni, при БОi &lt; БОпр  , где:</t>
  </si>
  <si>
    <r>
      <t xml:space="preserve">        Д</t>
    </r>
    <r>
      <rPr>
        <vertAlign val="subscript"/>
        <sz val="13"/>
        <rFont val="Times New Roman"/>
        <family val="1"/>
      </rPr>
      <t>р</t>
    </r>
    <r>
      <rPr>
        <sz val="13"/>
        <rFont val="Times New Roman"/>
        <family val="1"/>
      </rPr>
      <t xml:space="preserve"> i) равен объему  выравнивающей  части  субвенций (Фвр), то Д </t>
    </r>
    <r>
      <rPr>
        <vertAlign val="subscript"/>
        <sz val="13"/>
        <rFont val="Times New Roman"/>
        <family val="1"/>
      </rPr>
      <t>р</t>
    </r>
    <r>
      <rPr>
        <sz val="13"/>
        <rFont val="Times New Roman"/>
        <family val="1"/>
      </rPr>
      <t>i = Д</t>
    </r>
    <r>
      <rPr>
        <vertAlign val="subscript"/>
        <sz val="13"/>
        <rFont val="Times New Roman"/>
        <family val="1"/>
      </rPr>
      <t>ф</t>
    </r>
    <r>
      <rPr>
        <sz val="13"/>
        <rFont val="Times New Roman"/>
        <family val="1"/>
      </rPr>
      <t xml:space="preserve"> i, где Д</t>
    </r>
    <r>
      <rPr>
        <vertAlign val="subscript"/>
        <sz val="13"/>
        <rFont val="Times New Roman"/>
        <family val="1"/>
      </rPr>
      <t>ф</t>
    </r>
    <r>
      <rPr>
        <sz val="13"/>
        <rFont val="Times New Roman"/>
        <family val="1"/>
      </rPr>
      <t xml:space="preserve"> i - объем    фактической     дотации   для    i-го     поселения из выравнивающей части субвенций.</t>
    </r>
  </si>
  <si>
    <r>
      <t xml:space="preserve">     Д</t>
    </r>
    <r>
      <rPr>
        <vertAlign val="subscript"/>
        <sz val="13"/>
        <rFont val="Times New Roman"/>
        <family val="1"/>
      </rPr>
      <t>р</t>
    </r>
    <r>
      <rPr>
        <sz val="13"/>
        <rFont val="Times New Roman"/>
        <family val="1"/>
      </rPr>
      <t xml:space="preserve"> i &lt; Ф</t>
    </r>
    <r>
      <rPr>
        <vertAlign val="subscript"/>
        <sz val="13"/>
        <rFont val="Times New Roman"/>
        <family val="1"/>
      </rPr>
      <t>вр</t>
    </r>
    <r>
      <rPr>
        <sz val="13"/>
        <rFont val="Times New Roman"/>
        <family val="1"/>
      </rPr>
      <t xml:space="preserve">  ,  то  объем  фактической  дотации  для  i-го поселения  из  выравнивающей части субвенций (Д</t>
    </r>
    <r>
      <rPr>
        <vertAlign val="subscript"/>
        <sz val="13"/>
        <rFont val="Times New Roman"/>
        <family val="1"/>
      </rPr>
      <t>ф</t>
    </r>
    <r>
      <rPr>
        <sz val="13"/>
        <rFont val="Times New Roman"/>
        <family val="1"/>
      </rPr>
      <t xml:space="preserve"> i) рассчитывается по следующей формуле:</t>
    </r>
  </si>
  <si>
    <r>
      <t xml:space="preserve">    Д </t>
    </r>
    <r>
      <rPr>
        <vertAlign val="subscript"/>
        <sz val="13"/>
        <rFont val="Times New Roman"/>
        <family val="1"/>
      </rPr>
      <t>р</t>
    </r>
    <r>
      <rPr>
        <sz val="13"/>
        <rFont val="Times New Roman"/>
        <family val="1"/>
      </rPr>
      <t xml:space="preserve"> i - суммарный объем расчетной дотации для i-го поселения из выравнивающей части субвенций;</t>
    </r>
  </si>
  <si>
    <r>
      <t xml:space="preserve">     Д</t>
    </r>
    <r>
      <rPr>
        <vertAlign val="subscript"/>
        <sz val="13"/>
        <rFont val="Times New Roman"/>
        <family val="1"/>
      </rPr>
      <t>р</t>
    </r>
    <r>
      <rPr>
        <sz val="13"/>
        <rFont val="Times New Roman"/>
        <family val="1"/>
      </rPr>
      <t xml:space="preserve"> i &gt; Ф</t>
    </r>
    <r>
      <rPr>
        <vertAlign val="subscript"/>
        <sz val="13"/>
        <rFont val="Times New Roman"/>
        <family val="1"/>
      </rPr>
      <t xml:space="preserve">вр </t>
    </r>
    <r>
      <rPr>
        <sz val="13"/>
        <rFont val="Times New Roman"/>
        <family val="1"/>
      </rPr>
      <t xml:space="preserve">  или  </t>
    </r>
  </si>
  <si>
    <t xml:space="preserve">                                                                             Усть – Абаканского района Республики </t>
  </si>
  <si>
    <t xml:space="preserve">                                                                          Хакасия «О бюджете муниципального </t>
  </si>
  <si>
    <t xml:space="preserve">                                                                       образования Усть-Абаканский район </t>
  </si>
  <si>
    <t xml:space="preserve">                                                                  Республики Хакасия на 2020 год и </t>
  </si>
  <si>
    <t xml:space="preserve">                                                                       плановый период 2021 и 2022 годов»</t>
  </si>
  <si>
    <t xml:space="preserve">                                                         «__ » ______________№ ___  </t>
  </si>
  <si>
    <t>Муниципальная программа «Повышение эффективности управления муниципальными финансами Усть-Абаканского района</t>
  </si>
  <si>
    <t xml:space="preserve">Муниципальная программа «Повышение эффективности управления муниципальными финансами Усть-Абаканского района 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</si>
  <si>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объектах)»</t>
  </si>
  <si>
    <t>Муниципальная программа «Культура Усть-Абаканского района»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</si>
  <si>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</si>
  <si>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«Повышение эффективности управления муниципальными финансами Усть-Абаканского района»</t>
  </si>
  <si>
    <t>Муниципальная программа «Развитие субъектов малого и среднего предпринимательства в Усть-Абаканском районе»</t>
  </si>
  <si>
    <t>Муниципальная программа «Социальная поддержка граждан»</t>
  </si>
  <si>
    <t>Муниципальная программа «Развитие образования в Усть-Абаканском районе»</t>
  </si>
  <si>
    <t>Муниципальная программа «Развитие физической культуры и спорта в Усть-Абаканском районе»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</si>
  <si>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</si>
  <si>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</si>
  <si>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</si>
  <si>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 xml:space="preserve">Муниципальная программа «Жилище» </t>
  </si>
  <si>
    <t xml:space="preserve">Муниципальная программа «Развитие агропромышленного комплекса Усть-Абаканского района и социальной сферы на селе» </t>
  </si>
  <si>
    <t>Муниципальная программа «Энергосбережение и повышение энергетической эффективности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</si>
  <si>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</si>
  <si>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«Развитие туризма в Усть-Абаканском районе»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</si>
  <si>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</si>
  <si>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районе»</t>
  </si>
  <si>
    <t>Муниципальная программа «Энергосбережение и повышение энергетической эффективности в Усть-Абаканском районе »</t>
  </si>
  <si>
    <t>Муниципальная программа «Развитие торговли в Усть-Абаканском районе»</t>
  </si>
  <si>
    <t>000 1 12 01040 01 0000 120</t>
  </si>
  <si>
    <t>Плата за размещение отходов производства и потребления</t>
  </si>
  <si>
    <t>Денежные взыскания (штрафы) за административные правонарушения в области госудаственного регулирования производства и оборота этилого спирта, алкогольной, спиртосодержащей и табачной продукции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</si>
  <si>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</si>
  <si>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мцниципальных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</si>
  <si>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</si>
  <si>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</si>
  <si>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гражданоской ответственности, когда выгодоприобретателями выступают получатели средств бюджетов городских поселений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</si>
  <si>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</si>
  <si>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00011625060010000140</t>
  </si>
  <si>
    <t>Денежные взыскания (штрафы) за нарушение земельного законодательства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</si>
  <si>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</si>
  <si>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райнов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</si>
  <si>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</si>
  <si>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00011630015010000140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</si>
  <si>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</t>
  </si>
  <si>
    <t>0001163003001 0000 140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</si>
  <si>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</si>
  <si>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00011633050050000140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</si>
  <si>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</si>
  <si>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сельских поселений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</si>
  <si>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</si>
  <si>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Суммы по искам о возмещении вреда, причененного окружающей среде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</si>
  <si>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</si>
  <si>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</si>
  <si>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</si>
  <si>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</si>
  <si>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</si>
  <si>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</si>
  <si>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</si>
  <si>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</si>
  <si>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</si>
  <si>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</si>
  <si>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000 1 16 00000 00 0000 000</t>
  </si>
  <si>
    <t>000 1 16 08000 01 0000 140</t>
  </si>
  <si>
    <t>000 1 16 08010 01 0000 140</t>
  </si>
  <si>
    <t>000 1 16 01140 01 0000 140</t>
  </si>
  <si>
    <t>000 1 16 21000 00 0000 140</t>
  </si>
  <si>
    <t>000 1 16 21050 05 0000 140</t>
  </si>
  <si>
    <t>000 1 16 23000 00 0000 140</t>
  </si>
  <si>
    <t>000 1 16 23050 13 0000 140</t>
  </si>
  <si>
    <t>000 1 16 23051 13 0000 140</t>
  </si>
  <si>
    <t>000 1 16 25000 00 0000 140</t>
  </si>
  <si>
    <t>000 1 16 28000 01 0000 140</t>
  </si>
  <si>
    <t>000 1 16 30000 01 0000 140</t>
  </si>
  <si>
    <t>000 1 16 30010 01 0000 140</t>
  </si>
  <si>
    <t>000 1 16 30014 01 0000 140</t>
  </si>
  <si>
    <t>000 1 16 33050 13 0000 140</t>
  </si>
  <si>
    <t>000 1 16 35000 00 0000 140</t>
  </si>
  <si>
    <t>000 1 16 35030 05 0000 140</t>
  </si>
  <si>
    <t>000 1 16 430000 10 000 140</t>
  </si>
  <si>
    <t>000 1 16 01200 01 0000 140</t>
  </si>
  <si>
    <t>000 1 16 51000 02 0000 140</t>
  </si>
  <si>
    <t>000 1 16 51040 02 0000 140</t>
  </si>
  <si>
    <t>000 1 16 02000 02 0000 140</t>
  </si>
  <si>
    <t>000 1 16 02020 02 0000 140</t>
  </si>
  <si>
    <t>000 1 16 90000 00 0000 140</t>
  </si>
  <si>
    <t>000 1 16 90050 05 0000 140</t>
  </si>
  <si>
    <t>000 1 16 07090 00 0000 140</t>
  </si>
  <si>
    <t>000 1 16 07090 05 0000 140</t>
  </si>
  <si>
    <t>Муниципальная программа «Развитие агропромышленного комплекса Усть-Абаканского района и социальной сферы на селе"</t>
  </si>
  <si>
    <t>36102 70170</t>
  </si>
  <si>
    <t>36102 14970</t>
  </si>
  <si>
    <t>36102 00000</t>
  </si>
  <si>
    <t>36101 70270</t>
  </si>
  <si>
    <t>36101 14940</t>
  </si>
  <si>
    <t>36101 14960</t>
  </si>
  <si>
    <t>36101 14930</t>
  </si>
  <si>
    <t>36101 14910</t>
  </si>
  <si>
    <t>37001 03500</t>
  </si>
  <si>
    <t>37002 00000</t>
  </si>
  <si>
    <t>37002 22130</t>
  </si>
  <si>
    <t>37003 00000</t>
  </si>
  <si>
    <t>37003 22140</t>
  </si>
  <si>
    <t>37003 22160</t>
  </si>
  <si>
    <t>37004 00000</t>
  </si>
  <si>
    <t>37004 22290</t>
  </si>
  <si>
    <t>42001 03500</t>
  </si>
  <si>
    <t>42001 91990</t>
  </si>
  <si>
    <t>42002 80010</t>
  </si>
  <si>
    <t>42002 80020</t>
  </si>
  <si>
    <t>42003 01280</t>
  </si>
  <si>
    <t>42004 70110</t>
  </si>
  <si>
    <t>42004 70120</t>
  </si>
  <si>
    <t>42004 70130</t>
  </si>
  <si>
    <t>42004 70230</t>
  </si>
  <si>
    <t>42005 06500</t>
  </si>
  <si>
    <t>42007 00000</t>
  </si>
  <si>
    <t>42007 22030</t>
  </si>
  <si>
    <t>42007 80190</t>
  </si>
  <si>
    <t>Подпрограмма «Комплексное развитие сельских территорий»</t>
  </si>
  <si>
    <t>30203 00000</t>
  </si>
  <si>
    <t>Реализация проектов комплексного развития сельских территорий</t>
  </si>
  <si>
    <t>Комплексное развитие сельских территорий</t>
  </si>
  <si>
    <t>30203 22350</t>
  </si>
  <si>
    <t>35002 22360</t>
  </si>
  <si>
    <t>Создание условий для занятий физической культурой и спортом</t>
  </si>
  <si>
    <t xml:space="preserve"> 000 1 14 02000 00 0000 000</t>
  </si>
  <si>
    <t xml:space="preserve"> 000 1 14 02050 05 0000 410</t>
  </si>
  <si>
    <t xml:space="preserve"> 000 1 14 02053 05 0000 410</t>
  </si>
  <si>
    <t xml:space="preserve"> 000 1 14 02050 05 0000 440</t>
  </si>
  <si>
    <t>000 1 16 33000 00 0000 140</t>
  </si>
  <si>
    <t>000 1 16 33050 10 0000 140</t>
  </si>
  <si>
    <t>000 1 16 01060 01 0000 140</t>
  </si>
  <si>
    <t>45101 60270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</si>
  <si>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</si>
  <si>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</si>
  <si>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</si>
  <si>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</si>
  <si>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Субвенции бюджетам муниципальных районов на проведение Всероссийской переписи населения 2020 года</t>
  </si>
  <si>
    <t>000 2 02 25255 05 0000 150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</si>
  <si>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</si>
  <si>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000 2 02 25255 00 0000 150</t>
  </si>
  <si>
    <t>000 2 02 27139 05 0000 150</t>
  </si>
  <si>
    <t>000 2 02 27139 00 0000 150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</si>
  <si>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</si>
  <si>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000 2 02 35469 05 0000 150</t>
  </si>
  <si>
    <t>000 2 02 35469 00 0000 150</t>
  </si>
  <si>
    <t>Субвенции бюджетам на проведение Всероссийской переписи населения 2020 года</t>
  </si>
  <si>
    <t>32101 71430</t>
  </si>
  <si>
    <t>32101 S1430</t>
  </si>
  <si>
    <t>Реализация мероприятий по развитию дошкольных образовательных организаций</t>
  </si>
  <si>
    <t>Реализация мероприятий по развитию дошкольных образовательных организаций (софинансирование)</t>
  </si>
  <si>
    <t>Реализация мероприятий по развитию общеобразовательных организаций</t>
  </si>
  <si>
    <t>321Е1 71440</t>
  </si>
  <si>
    <t>321Е1 S1440</t>
  </si>
  <si>
    <t>Реализация мероприятий по развитию общеобразовательных организаций (софинансирование)</t>
  </si>
  <si>
    <t>32102 71440</t>
  </si>
  <si>
    <t>32102 S1440</t>
  </si>
  <si>
    <t xml:space="preserve">Мероприятия по предоставлению школьного питания </t>
  </si>
  <si>
    <t>32102 71450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</si>
  <si>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(в том числе софинансирование с республиканским бюджетом)</t>
  </si>
  <si>
    <t>32102 L2550</t>
  </si>
  <si>
    <t>30201 L5672</t>
  </si>
  <si>
    <t xml:space="preserve">30201 L5672 </t>
  </si>
  <si>
    <t>Обеспечение комплексного развития сельских территорий в части улучшения жилищных условий граждан, проживающих на сельских территориях (в том числе софинансирование с республиканским бюджетом)</t>
  </si>
  <si>
    <t>Субсидии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</si>
  <si>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республиканским бюджетом)</t>
  </si>
  <si>
    <t>35002 73350</t>
  </si>
  <si>
    <t>Модернизация, реконструкция, строительство объектов муниципальной собственности</t>
  </si>
  <si>
    <t>Модернизация, реконструкция, строительство объектов муниципальной собственности (софинансирование)</t>
  </si>
  <si>
    <t>35002 S3350</t>
  </si>
  <si>
    <t>Региональный проект Республики Хакасия «Спорт - норма жизни»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</si>
  <si>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спор-том (в том числе софинансирование с республиканским бюджетом)</t>
  </si>
  <si>
    <t>350P5 51390</t>
  </si>
  <si>
    <t>350P5 00000</t>
  </si>
  <si>
    <t>Проведение Всероссийской переписи населения 2020 года</t>
  </si>
  <si>
    <t>70700 54690</t>
  </si>
  <si>
    <t xml:space="preserve">Материально-техническое обеспечение единых дежурно-диспетчерских служб </t>
  </si>
  <si>
    <t>33001 71270</t>
  </si>
  <si>
    <t>Материально-техническое обеспечение единых дежурно-диспетчерских служб муниципальных образований (софинансирование)</t>
  </si>
  <si>
    <t>33001 S1270</t>
  </si>
  <si>
    <t>42007 S1178</t>
  </si>
  <si>
    <t>Дополнительное профессиональное образование муниципальных служащих и глав муниципальных образований</t>
  </si>
  <si>
    <t>42007 71178</t>
  </si>
  <si>
    <t>Дополнительное профессиональное образование муниципальных служащих и глав муниципальных образований (софинансирование)</t>
  </si>
  <si>
    <t>Региональный проект Республики Хакасия «Культурная среда»</t>
  </si>
  <si>
    <t>Государственная поддержка отрасли культуры (в том числе софинансирование с федеральным бюджетом)</t>
  </si>
  <si>
    <t>341A1 L5190</t>
  </si>
  <si>
    <t>341A1 00000</t>
  </si>
  <si>
    <t>условно утв.</t>
  </si>
  <si>
    <t>34101 L4670</t>
  </si>
  <si>
    <t>Создание новых мест в общеобразовательных организациях (в том числе софинансирование с республиканским бюджетом)</t>
  </si>
  <si>
    <t xml:space="preserve">                                    Приложение 16</t>
  </si>
  <si>
    <t xml:space="preserve">                                                             к  Решению Совета депутатов</t>
  </si>
  <si>
    <t xml:space="preserve">                                          "О внесении изменений в Решение Совета депутатов</t>
  </si>
  <si>
    <t xml:space="preserve">                                          Усть-Абаканского района Республики Хакасия</t>
  </si>
  <si>
    <t xml:space="preserve">                                          образования Усть-Абаканский район  Республики</t>
  </si>
  <si>
    <t xml:space="preserve">                                          приложение 1</t>
  </si>
  <si>
    <t xml:space="preserve">                                          от 23.12.2019 г. № 111 "О бюджете муниципального </t>
  </si>
  <si>
    <t>Приложение 3</t>
  </si>
  <si>
    <t>"О внесении изменений в Решение Совета депутатов</t>
  </si>
  <si>
    <t>образования Усть-Абаканский район  Республики</t>
  </si>
  <si>
    <t>приложение 7</t>
  </si>
  <si>
    <t xml:space="preserve">от 23.12.2019 г. № 111  "О бюджете муниципального </t>
  </si>
  <si>
    <t>приложение 9</t>
  </si>
  <si>
    <t>Хакасия на 2020 год и плановый период 2021 и 2022 годов",</t>
  </si>
  <si>
    <t>приложение 11</t>
  </si>
  <si>
    <t xml:space="preserve">                                         "О бюджете муниципального образования</t>
  </si>
  <si>
    <t xml:space="preserve">                                           Усть-Абаканский район  Республики</t>
  </si>
  <si>
    <t>000 2 02 25576 00 0000 150</t>
  </si>
  <si>
    <t>000 2 02 25576 05 0000 150</t>
  </si>
  <si>
    <t xml:space="preserve">                                          к проекту Решения Совета депутатов </t>
  </si>
  <si>
    <t xml:space="preserve">                                          к  проекту Решения Совета депутатов </t>
  </si>
  <si>
    <t xml:space="preserve">к  проекту Решения Совета депутатов </t>
  </si>
  <si>
    <t xml:space="preserve">                                          Приложение  2</t>
  </si>
  <si>
    <t xml:space="preserve">                                          приложение 3</t>
  </si>
  <si>
    <t>Приложение 4</t>
  </si>
  <si>
    <t>Приложение 5</t>
  </si>
  <si>
    <t>000 1 16 01120 01 0000 140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</si>
  <si>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</si>
  <si>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</si>
  <si>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</si>
  <si>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</si>
  <si>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</si>
  <si>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</si>
  <si>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</si>
  <si>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</si>
  <si>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</si>
  <si>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000 1 16 11050 01 000 140</t>
  </si>
  <si>
    <t>000 1 16 11000 01 000 140</t>
  </si>
  <si>
    <t xml:space="preserve">                                          от "  06 " мая 2020 г. № 6</t>
  </si>
  <si>
    <t xml:space="preserve">                                          от " 06 " мая  2020 г. № 6</t>
  </si>
  <si>
    <t>от " 06 " мая 2020 г. № 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</si>
</sst>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#,##0.0"/>
    <numFmt numFmtId="175" formatCode="#,##0.000"/>
    <numFmt numFmtId="176" formatCode="#,##0.0000"/>
    <numFmt numFmtId="177" formatCode="#,##0.00000"/>
  </numFmts>
  <fonts count="81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b/>
      <sz val="1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5"/>
      <name val="Arial Cyr"/>
      <family val="0"/>
    </font>
    <font>
      <sz val="12"/>
      <name val="Arial Cyr"/>
      <family val="0"/>
    </font>
    <font>
      <sz val="10"/>
      <name val="Courier New"/>
      <family val="3"/>
    </font>
    <font>
      <sz val="13"/>
      <name val="Courier New"/>
      <family val="3"/>
    </font>
    <font>
      <vertAlign val="subscript"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vertAlign val="subscript"/>
      <sz val="13"/>
      <name val="Times New Roman"/>
      <family val="1"/>
    </font>
    <font>
      <vertAlign val="subscript"/>
      <sz val="14"/>
      <name val="Times New Roman"/>
      <family val="1"/>
    </font>
    <font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21" fillId="0" borderId="1">
      <alignment horizontal="left" wrapText="1" indent="1"/>
      <protection/>
    </xf>
    <xf numFmtId="49" fontId="21" fillId="0" borderId="2">
      <alignment horizontal="center" shrinkToFit="1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3" applyNumberFormat="0" applyAlignment="0" applyProtection="0"/>
    <xf numFmtId="0" fontId="60" fillId="27" borderId="4" applyNumberFormat="0" applyAlignment="0" applyProtection="0"/>
    <xf numFmtId="0" fontId="61" fillId="27" borderId="3" applyNumberFormat="0" applyAlignment="0" applyProtection="0"/>
    <xf numFmtId="0" fontId="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8" borderId="9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8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vertical="center"/>
    </xf>
    <xf numFmtId="0" fontId="15" fillId="0" borderId="12" xfId="0" applyFont="1" applyBorder="1" applyAlignment="1">
      <alignment vertical="top" wrapText="1"/>
    </xf>
    <xf numFmtId="49" fontId="12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9" fontId="13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2" fontId="13" fillId="0" borderId="12" xfId="0" applyNumberFormat="1" applyFont="1" applyBorder="1" applyAlignment="1">
      <alignment wrapText="1"/>
    </xf>
    <xf numFmtId="49" fontId="5" fillId="0" borderId="0" xfId="0" applyNumberFormat="1" applyFont="1" applyAlignment="1">
      <alignment horizontal="left" vertical="center"/>
    </xf>
    <xf numFmtId="0" fontId="13" fillId="0" borderId="13" xfId="0" applyFont="1" applyFill="1" applyBorder="1" applyAlignment="1">
      <alignment wrapText="1"/>
    </xf>
    <xf numFmtId="0" fontId="15" fillId="0" borderId="13" xfId="0" applyFont="1" applyFill="1" applyBorder="1" applyAlignment="1">
      <alignment vertical="top" wrapText="1"/>
    </xf>
    <xf numFmtId="4" fontId="13" fillId="0" borderId="13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wrapText="1"/>
    </xf>
    <xf numFmtId="0" fontId="14" fillId="33" borderId="13" xfId="0" applyFont="1" applyFill="1" applyBorder="1" applyAlignment="1">
      <alignment horizontal="left" vertical="top" wrapText="1"/>
    </xf>
    <xf numFmtId="4" fontId="12" fillId="33" borderId="13" xfId="0" applyNumberFormat="1" applyFont="1" applyFill="1" applyBorder="1" applyAlignment="1">
      <alignment horizontal="center" vertical="center"/>
    </xf>
    <xf numFmtId="4" fontId="19" fillId="33" borderId="13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15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5" fillId="0" borderId="13" xfId="56" applyFont="1" applyFill="1" applyBorder="1" applyAlignment="1">
      <alignment vertical="top" wrapText="1"/>
      <protection/>
    </xf>
    <xf numFmtId="0" fontId="76" fillId="0" borderId="13" xfId="0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left" wrapText="1"/>
    </xf>
    <xf numFmtId="4" fontId="13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/>
    </xf>
    <xf numFmtId="0" fontId="77" fillId="0" borderId="13" xfId="0" applyFont="1" applyFill="1" applyBorder="1" applyAlignment="1">
      <alignment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13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horizontal="left" vertical="top" wrapText="1"/>
    </xf>
    <xf numFmtId="4" fontId="15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13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77" fillId="0" borderId="13" xfId="0" applyFont="1" applyFill="1" applyBorder="1" applyAlignment="1">
      <alignment/>
    </xf>
    <xf numFmtId="2" fontId="13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77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76" fillId="0" borderId="13" xfId="56" applyFont="1" applyFill="1" applyBorder="1" applyAlignment="1">
      <alignment vertical="top" wrapText="1"/>
      <protection/>
    </xf>
    <xf numFmtId="0" fontId="77" fillId="0" borderId="13" xfId="0" applyFont="1" applyFill="1" applyBorder="1" applyAlignment="1">
      <alignment vertical="top" wrapText="1"/>
    </xf>
    <xf numFmtId="0" fontId="77" fillId="0" borderId="13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2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4" fontId="13" fillId="0" borderId="13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2" fontId="12" fillId="34" borderId="13" xfId="0" applyNumberFormat="1" applyFont="1" applyFill="1" applyBorder="1" applyAlignment="1">
      <alignment horizontal="center" vertical="center" wrapText="1"/>
    </xf>
    <xf numFmtId="4" fontId="19" fillId="34" borderId="13" xfId="0" applyNumberFormat="1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vertical="top" wrapText="1"/>
    </xf>
    <xf numFmtId="0" fontId="14" fillId="35" borderId="13" xfId="0" applyFont="1" applyFill="1" applyBorder="1" applyAlignment="1">
      <alignment horizontal="center" vertical="center" wrapText="1"/>
    </xf>
    <xf numFmtId="49" fontId="12" fillId="35" borderId="13" xfId="0" applyNumberFormat="1" applyFont="1" applyFill="1" applyBorder="1" applyAlignment="1">
      <alignment horizontal="center" vertical="center" wrapText="1"/>
    </xf>
    <xf numFmtId="4" fontId="12" fillId="35" borderId="13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vertical="center" wrapText="1"/>
    </xf>
    <xf numFmtId="0" fontId="12" fillId="35" borderId="13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0" borderId="13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horizontal="center" wrapText="1"/>
    </xf>
    <xf numFmtId="49" fontId="12" fillId="34" borderId="13" xfId="0" applyNumberFormat="1" applyFont="1" applyFill="1" applyBorder="1" applyAlignment="1">
      <alignment horizontal="center" wrapText="1"/>
    </xf>
    <xf numFmtId="4" fontId="12" fillId="34" borderId="13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wrapText="1"/>
    </xf>
    <xf numFmtId="49" fontId="12" fillId="35" borderId="13" xfId="0" applyNumberFormat="1" applyFont="1" applyFill="1" applyBorder="1" applyAlignment="1">
      <alignment horizontal="center" wrapText="1"/>
    </xf>
    <xf numFmtId="0" fontId="12" fillId="35" borderId="13" xfId="0" applyFont="1" applyFill="1" applyBorder="1" applyAlignment="1">
      <alignment horizontal="center" wrapText="1"/>
    </xf>
    <xf numFmtId="4" fontId="12" fillId="35" borderId="13" xfId="0" applyNumberFormat="1" applyFont="1" applyFill="1" applyBorder="1" applyAlignment="1">
      <alignment horizontal="center" wrapText="1"/>
    </xf>
    <xf numFmtId="49" fontId="12" fillId="35" borderId="13" xfId="0" applyNumberFormat="1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4" fontId="12" fillId="35" borderId="13" xfId="0" applyNumberFormat="1" applyFont="1" applyFill="1" applyBorder="1" applyAlignment="1">
      <alignment horizontal="center"/>
    </xf>
    <xf numFmtId="0" fontId="12" fillId="35" borderId="13" xfId="0" applyFont="1" applyFill="1" applyBorder="1" applyAlignment="1">
      <alignment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vertical="center"/>
    </xf>
    <xf numFmtId="49" fontId="13" fillId="0" borderId="13" xfId="0" applyNumberFormat="1" applyFont="1" applyBorder="1" applyAlignment="1">
      <alignment horizontal="center" vertical="center" wrapText="1"/>
    </xf>
    <xf numFmtId="0" fontId="15" fillId="36" borderId="12" xfId="0" applyFont="1" applyFill="1" applyBorder="1" applyAlignment="1">
      <alignment vertical="top" wrapText="1"/>
    </xf>
    <xf numFmtId="0" fontId="13" fillId="0" borderId="0" xfId="0" applyFont="1" applyAlignment="1">
      <alignment wrapText="1"/>
    </xf>
    <xf numFmtId="4" fontId="13" fillId="0" borderId="0" xfId="0" applyNumberFormat="1" applyFont="1" applyFill="1" applyAlignment="1">
      <alignment horizontal="right"/>
    </xf>
    <xf numFmtId="0" fontId="13" fillId="0" borderId="13" xfId="0" applyFont="1" applyBorder="1" applyAlignment="1">
      <alignment wrapText="1"/>
    </xf>
    <xf numFmtId="4" fontId="16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3" fillId="0" borderId="0" xfId="0" applyNumberFormat="1" applyFont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4" fontId="17" fillId="0" borderId="0" xfId="0" applyNumberFormat="1" applyFont="1" applyAlignment="1">
      <alignment vertical="center"/>
    </xf>
    <xf numFmtId="4" fontId="16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4" fontId="18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0" fontId="24" fillId="33" borderId="13" xfId="0" applyFont="1" applyFill="1" applyBorder="1" applyAlignment="1">
      <alignment horizontal="center" vertical="center" wrapText="1"/>
    </xf>
    <xf numFmtId="4" fontId="24" fillId="33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justify" vertical="top" wrapText="1"/>
    </xf>
    <xf numFmtId="4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24" fillId="6" borderId="13" xfId="0" applyFont="1" applyFill="1" applyBorder="1" applyAlignment="1">
      <alignment horizontal="left" vertical="center" wrapText="1"/>
    </xf>
    <xf numFmtId="0" fontId="24" fillId="6" borderId="13" xfId="0" applyFont="1" applyFill="1" applyBorder="1" applyAlignment="1">
      <alignment vertical="top" wrapText="1"/>
    </xf>
    <xf numFmtId="4" fontId="24" fillId="6" borderId="13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9" fontId="18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/>
    </xf>
    <xf numFmtId="4" fontId="25" fillId="33" borderId="1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4" fontId="18" fillId="36" borderId="13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vertical="center" wrapText="1"/>
    </xf>
    <xf numFmtId="0" fontId="17" fillId="0" borderId="13" xfId="0" applyFont="1" applyBorder="1" applyAlignment="1">
      <alignment wrapText="1"/>
    </xf>
    <xf numFmtId="0" fontId="16" fillId="0" borderId="0" xfId="0" applyFont="1" applyFill="1" applyAlignment="1">
      <alignment/>
    </xf>
    <xf numFmtId="0" fontId="17" fillId="36" borderId="13" xfId="0" applyFont="1" applyFill="1" applyBorder="1" applyAlignment="1">
      <alignment wrapText="1"/>
    </xf>
    <xf numFmtId="0" fontId="78" fillId="37" borderId="13" xfId="0" applyFont="1" applyFill="1" applyBorder="1" applyAlignment="1">
      <alignment horizontal="justify" vertical="top" wrapText="1"/>
    </xf>
    <xf numFmtId="0" fontId="78" fillId="0" borderId="13" xfId="0" applyFont="1" applyBorder="1" applyAlignment="1">
      <alignment wrapText="1"/>
    </xf>
    <xf numFmtId="0" fontId="17" fillId="0" borderId="0" xfId="0" applyFont="1" applyAlignment="1">
      <alignment wrapText="1"/>
    </xf>
    <xf numFmtId="3" fontId="17" fillId="0" borderId="13" xfId="0" applyNumberFormat="1" applyFont="1" applyBorder="1" applyAlignment="1">
      <alignment horizontal="center" vertical="center" wrapText="1"/>
    </xf>
    <xf numFmtId="49" fontId="17" fillId="37" borderId="13" xfId="0" applyNumberFormat="1" applyFont="1" applyFill="1" applyBorder="1" applyAlignment="1">
      <alignment horizontal="center" vertical="center"/>
    </xf>
    <xf numFmtId="49" fontId="17" fillId="37" borderId="13" xfId="0" applyNumberFormat="1" applyFont="1" applyFill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17" fillId="0" borderId="13" xfId="0" applyFont="1" applyFill="1" applyBorder="1" applyAlignment="1">
      <alignment wrapText="1"/>
    </xf>
    <xf numFmtId="0" fontId="17" fillId="0" borderId="0" xfId="0" applyFont="1" applyFill="1" applyAlignment="1">
      <alignment/>
    </xf>
    <xf numFmtId="49" fontId="17" fillId="0" borderId="13" xfId="0" applyNumberFormat="1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justify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Border="1" applyAlignment="1">
      <alignment wrapText="1"/>
    </xf>
    <xf numFmtId="0" fontId="80" fillId="0" borderId="13" xfId="0" applyNumberFormat="1" applyFont="1" applyFill="1" applyBorder="1" applyAlignment="1">
      <alignment horizontal="justify" vertical="center" wrapText="1"/>
    </xf>
    <xf numFmtId="0" fontId="17" fillId="0" borderId="16" xfId="0" applyFont="1" applyFill="1" applyBorder="1" applyAlignment="1">
      <alignment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left" vertical="center" wrapText="1"/>
    </xf>
    <xf numFmtId="0" fontId="25" fillId="38" borderId="13" xfId="0" applyFont="1" applyFill="1" applyBorder="1" applyAlignment="1">
      <alignment horizontal="center" vertical="center" wrapText="1"/>
    </xf>
    <xf numFmtId="0" fontId="25" fillId="38" borderId="13" xfId="0" applyFont="1" applyFill="1" applyBorder="1" applyAlignment="1">
      <alignment vertical="center" wrapText="1"/>
    </xf>
    <xf numFmtId="4" fontId="19" fillId="38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" fontId="18" fillId="0" borderId="0" xfId="0" applyNumberFormat="1" applyFont="1" applyBorder="1" applyAlignment="1">
      <alignment horizontal="center" vertical="center" wrapText="1"/>
    </xf>
    <xf numFmtId="9" fontId="16" fillId="0" borderId="0" xfId="0" applyNumberFormat="1" applyFont="1" applyAlignment="1">
      <alignment vertical="center"/>
    </xf>
    <xf numFmtId="4" fontId="26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17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31" fillId="0" borderId="0" xfId="0" applyFont="1" applyAlignment="1">
      <alignment horizontal="center"/>
    </xf>
    <xf numFmtId="174" fontId="18" fillId="36" borderId="1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7" fillId="36" borderId="13" xfId="0" applyNumberFormat="1" applyFont="1" applyFill="1" applyBorder="1" applyAlignment="1">
      <alignment horizontal="center"/>
    </xf>
    <xf numFmtId="49" fontId="17" fillId="37" borderId="13" xfId="0" applyNumberFormat="1" applyFont="1" applyFill="1" applyBorder="1" applyAlignment="1">
      <alignment horizontal="center"/>
    </xf>
    <xf numFmtId="0" fontId="17" fillId="37" borderId="13" xfId="0" applyNumberFormat="1" applyFont="1" applyFill="1" applyBorder="1" applyAlignment="1">
      <alignment horizontal="left" vertical="center" wrapText="1"/>
    </xf>
    <xf numFmtId="174" fontId="16" fillId="36" borderId="13" xfId="0" applyNumberFormat="1" applyFont="1" applyFill="1" applyBorder="1" applyAlignment="1">
      <alignment horizontal="center" vertical="center"/>
    </xf>
    <xf numFmtId="174" fontId="16" fillId="36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/>
    </xf>
    <xf numFmtId="0" fontId="17" fillId="0" borderId="13" xfId="0" applyNumberFormat="1" applyFont="1" applyFill="1" applyBorder="1" applyAlignment="1">
      <alignment horizontal="left" vertical="center" wrapText="1"/>
    </xf>
    <xf numFmtId="174" fontId="17" fillId="0" borderId="13" xfId="0" applyNumberFormat="1" applyFont="1" applyFill="1" applyBorder="1" applyAlignment="1">
      <alignment horizontal="center" vertical="center"/>
    </xf>
    <xf numFmtId="174" fontId="17" fillId="0" borderId="13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/>
    </xf>
    <xf numFmtId="0" fontId="17" fillId="0" borderId="13" xfId="0" applyNumberFormat="1" applyFont="1" applyFill="1" applyBorder="1" applyAlignment="1">
      <alignment/>
    </xf>
    <xf numFmtId="0" fontId="17" fillId="0" borderId="13" xfId="0" applyNumberFormat="1" applyFont="1" applyFill="1" applyBorder="1" applyAlignment="1">
      <alignment wrapText="1"/>
    </xf>
    <xf numFmtId="174" fontId="17" fillId="0" borderId="15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wrapText="1"/>
    </xf>
    <xf numFmtId="4" fontId="17" fillId="0" borderId="13" xfId="0" applyNumberFormat="1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2" fontId="17" fillId="0" borderId="13" xfId="0" applyNumberFormat="1" applyFont="1" applyBorder="1" applyAlignment="1">
      <alignment wrapText="1"/>
    </xf>
    <xf numFmtId="0" fontId="80" fillId="0" borderId="16" xfId="0" applyFont="1" applyFill="1" applyBorder="1" applyAlignment="1">
      <alignment horizontal="justify" vertical="center" wrapText="1"/>
    </xf>
    <xf numFmtId="4" fontId="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8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20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1.wmf" /><Relationship Id="rId13" Type="http://schemas.openxmlformats.org/officeDocument/2006/relationships/image" Target="../media/image11.wmf" /><Relationship Id="rId14" Type="http://schemas.openxmlformats.org/officeDocument/2006/relationships/image" Target="../media/image11.wmf" /><Relationship Id="rId15" Type="http://schemas.openxmlformats.org/officeDocument/2006/relationships/image" Target="../media/image11.wmf" /><Relationship Id="rId16" Type="http://schemas.openxmlformats.org/officeDocument/2006/relationships/image" Target="../media/image11.wmf" /><Relationship Id="rId17" Type="http://schemas.openxmlformats.org/officeDocument/2006/relationships/image" Target="../media/image11.wmf" /><Relationship Id="rId18" Type="http://schemas.openxmlformats.org/officeDocument/2006/relationships/image" Target="../media/image12.wmf" /><Relationship Id="rId19" Type="http://schemas.openxmlformats.org/officeDocument/2006/relationships/image" Target="../media/image8.wmf" /><Relationship Id="rId20" Type="http://schemas.openxmlformats.org/officeDocument/2006/relationships/image" Target="../media/image9.wmf" /><Relationship Id="rId21" Type="http://schemas.openxmlformats.org/officeDocument/2006/relationships/image" Target="../media/image13.wmf" /><Relationship Id="rId22" Type="http://schemas.openxmlformats.org/officeDocument/2006/relationships/image" Target="../media/image8.wmf" /><Relationship Id="rId23" Type="http://schemas.openxmlformats.org/officeDocument/2006/relationships/image" Target="../media/image9.wmf" /><Relationship Id="rId24" Type="http://schemas.openxmlformats.org/officeDocument/2006/relationships/image" Target="../media/image14.wmf" /><Relationship Id="rId25" Type="http://schemas.openxmlformats.org/officeDocument/2006/relationships/image" Target="../media/image15.wmf" /><Relationship Id="rId26" Type="http://schemas.openxmlformats.org/officeDocument/2006/relationships/image" Target="../media/image16.wmf" /><Relationship Id="rId27" Type="http://schemas.openxmlformats.org/officeDocument/2006/relationships/image" Target="../media/image17.wmf" /><Relationship Id="rId28" Type="http://schemas.openxmlformats.org/officeDocument/2006/relationships/image" Target="../media/image18.wmf" /><Relationship Id="rId29" Type="http://schemas.openxmlformats.org/officeDocument/2006/relationships/image" Target="../media/image18.wmf" /><Relationship Id="rId30" Type="http://schemas.openxmlformats.org/officeDocument/2006/relationships/image" Target="../media/image18.wmf" /><Relationship Id="rId31" Type="http://schemas.openxmlformats.org/officeDocument/2006/relationships/image" Target="../media/image19.wmf" /><Relationship Id="rId32" Type="http://schemas.openxmlformats.org/officeDocument/2006/relationships/image" Target="../media/image18.wmf" /><Relationship Id="rId33" Type="http://schemas.openxmlformats.org/officeDocument/2006/relationships/image" Target="../media/image4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oleObject" Target="../embeddings/oleObject_8_4.bin" /><Relationship Id="rId6" Type="http://schemas.openxmlformats.org/officeDocument/2006/relationships/oleObject" Target="../embeddings/oleObject_8_5.bin" /><Relationship Id="rId7" Type="http://schemas.openxmlformats.org/officeDocument/2006/relationships/oleObject" Target="../embeddings/oleObject_8_6.bin" /><Relationship Id="rId8" Type="http://schemas.openxmlformats.org/officeDocument/2006/relationships/oleObject" Target="../embeddings/oleObject_8_7.bin" /><Relationship Id="rId9" Type="http://schemas.openxmlformats.org/officeDocument/2006/relationships/oleObject" Target="../embeddings/oleObject_8_8.bin" /><Relationship Id="rId10" Type="http://schemas.openxmlformats.org/officeDocument/2006/relationships/oleObject" Target="../embeddings/oleObject_8_9.bin" /><Relationship Id="rId11" Type="http://schemas.openxmlformats.org/officeDocument/2006/relationships/oleObject" Target="../embeddings/oleObject_8_10.bin" /><Relationship Id="rId12" Type="http://schemas.openxmlformats.org/officeDocument/2006/relationships/oleObject" Target="../embeddings/oleObject_8_11.bin" /><Relationship Id="rId13" Type="http://schemas.openxmlformats.org/officeDocument/2006/relationships/oleObject" Target="../embeddings/oleObject_8_12.bin" /><Relationship Id="rId14" Type="http://schemas.openxmlformats.org/officeDocument/2006/relationships/oleObject" Target="../embeddings/oleObject_8_13.bin" /><Relationship Id="rId15" Type="http://schemas.openxmlformats.org/officeDocument/2006/relationships/oleObject" Target="../embeddings/oleObject_8_14.bin" /><Relationship Id="rId16" Type="http://schemas.openxmlformats.org/officeDocument/2006/relationships/oleObject" Target="../embeddings/oleObject_8_15.bin" /><Relationship Id="rId17" Type="http://schemas.openxmlformats.org/officeDocument/2006/relationships/oleObject" Target="../embeddings/oleObject_8_16.bin" /><Relationship Id="rId18" Type="http://schemas.openxmlformats.org/officeDocument/2006/relationships/oleObject" Target="../embeddings/oleObject_8_17.bin" /><Relationship Id="rId19" Type="http://schemas.openxmlformats.org/officeDocument/2006/relationships/oleObject" Target="../embeddings/oleObject_8_18.bin" /><Relationship Id="rId20" Type="http://schemas.openxmlformats.org/officeDocument/2006/relationships/oleObject" Target="../embeddings/oleObject_8_19.bin" /><Relationship Id="rId21" Type="http://schemas.openxmlformats.org/officeDocument/2006/relationships/oleObject" Target="../embeddings/oleObject_8_20.bin" /><Relationship Id="rId22" Type="http://schemas.openxmlformats.org/officeDocument/2006/relationships/oleObject" Target="../embeddings/oleObject_8_21.bin" /><Relationship Id="rId23" Type="http://schemas.openxmlformats.org/officeDocument/2006/relationships/oleObject" Target="../embeddings/oleObject_8_22.bin" /><Relationship Id="rId24" Type="http://schemas.openxmlformats.org/officeDocument/2006/relationships/oleObject" Target="../embeddings/oleObject_8_23.bin" /><Relationship Id="rId25" Type="http://schemas.openxmlformats.org/officeDocument/2006/relationships/oleObject" Target="../embeddings/oleObject_8_24.bin" /><Relationship Id="rId26" Type="http://schemas.openxmlformats.org/officeDocument/2006/relationships/oleObject" Target="../embeddings/oleObject_8_25.bin" /><Relationship Id="rId27" Type="http://schemas.openxmlformats.org/officeDocument/2006/relationships/oleObject" Target="../embeddings/oleObject_8_26.bin" /><Relationship Id="rId28" Type="http://schemas.openxmlformats.org/officeDocument/2006/relationships/oleObject" Target="../embeddings/oleObject_8_27.bin" /><Relationship Id="rId29" Type="http://schemas.openxmlformats.org/officeDocument/2006/relationships/oleObject" Target="../embeddings/oleObject_8_28.bin" /><Relationship Id="rId30" Type="http://schemas.openxmlformats.org/officeDocument/2006/relationships/oleObject" Target="../embeddings/oleObject_8_29.bin" /><Relationship Id="rId31" Type="http://schemas.openxmlformats.org/officeDocument/2006/relationships/oleObject" Target="../embeddings/oleObject_8_30.bin" /><Relationship Id="rId32" Type="http://schemas.openxmlformats.org/officeDocument/2006/relationships/oleObject" Target="../embeddings/oleObject_8_31.bin" /><Relationship Id="rId33" Type="http://schemas.openxmlformats.org/officeDocument/2006/relationships/oleObject" Target="../embeddings/oleObject_8_32.bin" /><Relationship Id="rId34" Type="http://schemas.openxmlformats.org/officeDocument/2006/relationships/vmlDrawing" Target="../drawings/vmlDrawing1.vml" /><Relationship Id="rId3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80" zoomScaleNormal="80" workbookViewId="0" topLeftCell="A1">
      <selection activeCell="B11" sqref="B11"/>
    </sheetView>
  </sheetViews>
  <sheetFormatPr defaultColWidth="9.00390625" defaultRowHeight="12.75"/>
  <cols>
    <col min="1" max="1" width="37.00390625" style="13" customWidth="1"/>
    <col min="2" max="2" width="69.875" style="13" customWidth="1"/>
    <col min="3" max="3" width="25.25390625" style="171" customWidth="1"/>
    <col min="4" max="5" width="24.625" style="171" hidden="1" customWidth="1"/>
    <col min="6" max="16384" width="9.125" style="13" customWidth="1"/>
  </cols>
  <sheetData>
    <row r="1" spans="2:5" ht="16.5" customHeight="1">
      <c r="B1" s="39" t="s">
        <v>550</v>
      </c>
      <c r="C1" s="156"/>
      <c r="D1" s="156"/>
      <c r="E1" s="156"/>
    </row>
    <row r="2" spans="2:5" ht="18.75">
      <c r="B2" s="6" t="s">
        <v>1326</v>
      </c>
      <c r="C2" s="156"/>
      <c r="D2" s="156"/>
      <c r="E2" s="156"/>
    </row>
    <row r="3" spans="2:5" ht="18.75">
      <c r="B3" s="6" t="s">
        <v>551</v>
      </c>
      <c r="C3" s="156"/>
      <c r="D3" s="156"/>
      <c r="E3" s="156"/>
    </row>
    <row r="4" spans="2:5" ht="18.75">
      <c r="B4" s="3" t="s">
        <v>1309</v>
      </c>
      <c r="C4" s="6"/>
      <c r="D4" s="156"/>
      <c r="E4" s="156"/>
    </row>
    <row r="5" spans="2:5" ht="18.75">
      <c r="B5" s="3" t="s">
        <v>1310</v>
      </c>
      <c r="C5" s="6"/>
      <c r="D5" s="156"/>
      <c r="E5" s="156"/>
    </row>
    <row r="6" spans="2:5" ht="18.75">
      <c r="B6" s="6" t="s">
        <v>1313</v>
      </c>
      <c r="C6" s="156"/>
      <c r="D6" s="156"/>
      <c r="E6" s="156"/>
    </row>
    <row r="7" spans="2:5" ht="18.75">
      <c r="B7" s="6" t="s">
        <v>1311</v>
      </c>
      <c r="C7" s="156"/>
      <c r="D7" s="156"/>
      <c r="E7" s="156"/>
    </row>
    <row r="8" spans="1:5" ht="18.75">
      <c r="A8" s="8"/>
      <c r="B8" s="6" t="s">
        <v>983</v>
      </c>
      <c r="C8" s="156"/>
      <c r="D8" s="156"/>
      <c r="E8" s="156"/>
    </row>
    <row r="9" spans="1:5" ht="18" customHeight="1">
      <c r="A9" s="8"/>
      <c r="B9" s="6" t="s">
        <v>1312</v>
      </c>
      <c r="C9" s="156"/>
      <c r="D9" s="156"/>
      <c r="E9" s="156"/>
    </row>
    <row r="10" spans="2:5" ht="18.75">
      <c r="B10" s="86" t="s">
        <v>1345</v>
      </c>
      <c r="C10" s="156"/>
      <c r="D10" s="156"/>
      <c r="E10" s="156"/>
    </row>
    <row r="11" spans="2:5" ht="18.75" customHeight="1">
      <c r="B11" s="6"/>
      <c r="C11" s="156"/>
      <c r="D11" s="156"/>
      <c r="E11" s="156"/>
    </row>
    <row r="12" spans="2:5" ht="18.75" customHeight="1">
      <c r="B12" s="6"/>
      <c r="C12" s="156"/>
      <c r="D12" s="156"/>
      <c r="E12" s="156"/>
    </row>
    <row r="13" spans="1:5" ht="15" customHeight="1">
      <c r="A13" s="257" t="s">
        <v>984</v>
      </c>
      <c r="B13" s="257"/>
      <c r="C13" s="257"/>
      <c r="D13" s="13"/>
      <c r="E13" s="13"/>
    </row>
    <row r="14" spans="1:5" ht="29.25" customHeight="1">
      <c r="A14" s="257"/>
      <c r="B14" s="257"/>
      <c r="C14" s="257"/>
      <c r="D14" s="13"/>
      <c r="E14" s="13"/>
    </row>
    <row r="15" spans="2:5" ht="21.75" customHeight="1">
      <c r="B15" s="157"/>
      <c r="C15" s="158"/>
      <c r="D15" s="159"/>
      <c r="E15" s="158" t="s">
        <v>474</v>
      </c>
    </row>
    <row r="16" spans="2:5" ht="21.75" customHeight="1">
      <c r="B16" s="157"/>
      <c r="C16" s="158"/>
      <c r="D16" s="159"/>
      <c r="E16" s="158"/>
    </row>
    <row r="17" spans="1:5" s="1" customFormat="1" ht="59.25" customHeight="1">
      <c r="A17" s="160" t="s">
        <v>552</v>
      </c>
      <c r="B17" s="160" t="s">
        <v>23</v>
      </c>
      <c r="C17" s="161" t="s">
        <v>504</v>
      </c>
      <c r="D17" s="161" t="s">
        <v>528</v>
      </c>
      <c r="E17" s="161" t="s">
        <v>982</v>
      </c>
    </row>
    <row r="18" spans="1:5" ht="24" customHeight="1" hidden="1">
      <c r="A18" s="162" t="s">
        <v>553</v>
      </c>
      <c r="B18" s="163" t="s">
        <v>82</v>
      </c>
      <c r="C18" s="164">
        <f>C19-C21</f>
        <v>0</v>
      </c>
      <c r="D18" s="164">
        <f>D19-D21</f>
        <v>0</v>
      </c>
      <c r="E18" s="164">
        <f>E19-E21</f>
        <v>0</v>
      </c>
    </row>
    <row r="19" spans="1:5" ht="40.5" customHeight="1" hidden="1">
      <c r="A19" s="162" t="s">
        <v>554</v>
      </c>
      <c r="B19" s="165" t="s">
        <v>555</v>
      </c>
      <c r="C19" s="164">
        <f>C20</f>
        <v>0</v>
      </c>
      <c r="D19" s="164">
        <f>D20</f>
        <v>0</v>
      </c>
      <c r="E19" s="164">
        <f>E20</f>
        <v>0</v>
      </c>
    </row>
    <row r="20" spans="1:5" ht="40.5" customHeight="1" hidden="1">
      <c r="A20" s="162" t="s">
        <v>556</v>
      </c>
      <c r="B20" s="165" t="s">
        <v>557</v>
      </c>
      <c r="C20" s="164"/>
      <c r="D20" s="164"/>
      <c r="E20" s="164"/>
    </row>
    <row r="21" spans="1:5" ht="39.75" customHeight="1" hidden="1">
      <c r="A21" s="162" t="s">
        <v>558</v>
      </c>
      <c r="B21" s="165" t="s">
        <v>559</v>
      </c>
      <c r="C21" s="164">
        <f>C22</f>
        <v>0</v>
      </c>
      <c r="D21" s="164">
        <f>D22</f>
        <v>0</v>
      </c>
      <c r="E21" s="164">
        <f>E22</f>
        <v>0</v>
      </c>
    </row>
    <row r="22" spans="1:5" ht="42" customHeight="1" hidden="1">
      <c r="A22" s="162" t="s">
        <v>560</v>
      </c>
      <c r="B22" s="165" t="s">
        <v>561</v>
      </c>
      <c r="C22" s="164"/>
      <c r="D22" s="164"/>
      <c r="E22" s="164"/>
    </row>
    <row r="23" spans="1:5" ht="47.25" customHeight="1">
      <c r="A23" s="166" t="s">
        <v>562</v>
      </c>
      <c r="B23" s="165" t="s">
        <v>563</v>
      </c>
      <c r="C23" s="164">
        <f>C24-C26</f>
        <v>9004600</v>
      </c>
      <c r="D23" s="164">
        <f>D24-D26</f>
        <v>8971700</v>
      </c>
      <c r="E23" s="164">
        <f>E24-E26</f>
        <v>9096400</v>
      </c>
    </row>
    <row r="24" spans="1:5" ht="58.5" customHeight="1">
      <c r="A24" s="166" t="s">
        <v>564</v>
      </c>
      <c r="B24" s="165" t="s">
        <v>565</v>
      </c>
      <c r="C24" s="164">
        <f>C25</f>
        <v>9004600</v>
      </c>
      <c r="D24" s="164">
        <f>D25</f>
        <v>17976300</v>
      </c>
      <c r="E24" s="164">
        <f>E25</f>
        <v>18068100</v>
      </c>
    </row>
    <row r="25" spans="1:5" ht="62.25" customHeight="1">
      <c r="A25" s="166" t="s">
        <v>566</v>
      </c>
      <c r="B25" s="165" t="s">
        <v>567</v>
      </c>
      <c r="C25" s="164">
        <v>9004600</v>
      </c>
      <c r="D25" s="164">
        <v>17976300</v>
      </c>
      <c r="E25" s="164">
        <v>18068100</v>
      </c>
    </row>
    <row r="26" spans="1:5" ht="60.75" customHeight="1">
      <c r="A26" s="166" t="s">
        <v>568</v>
      </c>
      <c r="B26" s="165" t="s">
        <v>569</v>
      </c>
      <c r="C26" s="164">
        <f>C27</f>
        <v>0</v>
      </c>
      <c r="D26" s="164">
        <f>D27</f>
        <v>9004600</v>
      </c>
      <c r="E26" s="164">
        <f>E27</f>
        <v>8971700</v>
      </c>
    </row>
    <row r="27" spans="1:5" ht="59.25" customHeight="1">
      <c r="A27" s="166" t="s">
        <v>570</v>
      </c>
      <c r="B27" s="165" t="s">
        <v>571</v>
      </c>
      <c r="C27" s="164">
        <v>0</v>
      </c>
      <c r="D27" s="164">
        <v>9004600</v>
      </c>
      <c r="E27" s="164">
        <v>8971700</v>
      </c>
    </row>
    <row r="28" spans="1:5" ht="37.5">
      <c r="A28" s="166" t="s">
        <v>572</v>
      </c>
      <c r="B28" s="167" t="s">
        <v>573</v>
      </c>
      <c r="C28" s="164">
        <f>C32-C29</f>
        <v>0</v>
      </c>
      <c r="D28" s="164">
        <f>D32-D29</f>
        <v>1114642811</v>
      </c>
      <c r="E28" s="164">
        <f>E32-E29</f>
        <v>1280451326</v>
      </c>
    </row>
    <row r="29" spans="1:5" ht="26.25" customHeight="1">
      <c r="A29" s="166" t="s">
        <v>574</v>
      </c>
      <c r="B29" s="165" t="s">
        <v>575</v>
      </c>
      <c r="C29" s="164">
        <f aca="true" t="shared" si="0" ref="C29:E30">C30</f>
        <v>1420967782.6399999</v>
      </c>
      <c r="D29" s="164">
        <f t="shared" si="0"/>
        <v>17976300</v>
      </c>
      <c r="E29" s="164">
        <f t="shared" si="0"/>
        <v>18068100</v>
      </c>
    </row>
    <row r="30" spans="1:5" ht="29.25" customHeight="1">
      <c r="A30" s="166" t="s">
        <v>576</v>
      </c>
      <c r="B30" s="165" t="s">
        <v>577</v>
      </c>
      <c r="C30" s="164">
        <f t="shared" si="0"/>
        <v>1420967782.6399999</v>
      </c>
      <c r="D30" s="164">
        <f t="shared" si="0"/>
        <v>17976300</v>
      </c>
      <c r="E30" s="164">
        <f t="shared" si="0"/>
        <v>18068100</v>
      </c>
    </row>
    <row r="31" spans="1:5" ht="40.5" customHeight="1">
      <c r="A31" s="166" t="s">
        <v>578</v>
      </c>
      <c r="B31" s="165" t="s">
        <v>579</v>
      </c>
      <c r="C31" s="164">
        <f>'Дох. 2020'!C259+C20+C25</f>
        <v>1420967782.6399999</v>
      </c>
      <c r="D31" s="164">
        <f>'Дох. 2020'!D262+D20+D25</f>
        <v>17976300</v>
      </c>
      <c r="E31" s="164">
        <f>'Дох. 2020'!E262+E20+E25</f>
        <v>18068100</v>
      </c>
    </row>
    <row r="32" spans="1:5" ht="24" customHeight="1">
      <c r="A32" s="166" t="s">
        <v>580</v>
      </c>
      <c r="B32" s="165" t="s">
        <v>581</v>
      </c>
      <c r="C32" s="164">
        <f aca="true" t="shared" si="1" ref="C32:E33">C33</f>
        <v>1420967782.64</v>
      </c>
      <c r="D32" s="164">
        <f t="shared" si="1"/>
        <v>1132619111</v>
      </c>
      <c r="E32" s="164">
        <f t="shared" si="1"/>
        <v>1298519426</v>
      </c>
    </row>
    <row r="33" spans="1:5" ht="30" customHeight="1">
      <c r="A33" s="166" t="s">
        <v>582</v>
      </c>
      <c r="B33" s="165" t="s">
        <v>583</v>
      </c>
      <c r="C33" s="164">
        <f t="shared" si="1"/>
        <v>1420967782.64</v>
      </c>
      <c r="D33" s="164">
        <f t="shared" si="1"/>
        <v>1132619111</v>
      </c>
      <c r="E33" s="164">
        <f t="shared" si="1"/>
        <v>1298519426</v>
      </c>
    </row>
    <row r="34" spans="1:5" ht="37.5">
      <c r="A34" s="166" t="s">
        <v>584</v>
      </c>
      <c r="B34" s="165" t="s">
        <v>585</v>
      </c>
      <c r="C34" s="164">
        <f>'Вед. 2020'!G779+C21+C26</f>
        <v>1420967782.64</v>
      </c>
      <c r="D34" s="164">
        <f>'Вед. 2020'!H779+D21+D26+11274000</f>
        <v>1132619111</v>
      </c>
      <c r="E34" s="164">
        <f>'Вед. 2020'!I779+E21+E26+22332900</f>
        <v>1298519426</v>
      </c>
    </row>
    <row r="35" spans="1:5" s="1" customFormat="1" ht="21" customHeight="1">
      <c r="A35" s="168"/>
      <c r="B35" s="169" t="s">
        <v>586</v>
      </c>
      <c r="C35" s="170">
        <f>C18+C23+C28</f>
        <v>9004600</v>
      </c>
      <c r="D35" s="170">
        <f>D18+D23+D28</f>
        <v>1123614511</v>
      </c>
      <c r="E35" s="170">
        <f>E18+E23+E28</f>
        <v>1289547726</v>
      </c>
    </row>
    <row r="37" spans="4:5" ht="12.75">
      <c r="D37" s="253"/>
      <c r="E37" s="253"/>
    </row>
    <row r="39" spans="4:5" ht="12.75">
      <c r="D39" s="253"/>
      <c r="E39" s="253"/>
    </row>
  </sheetData>
  <sheetProtection/>
  <mergeCells count="1">
    <mergeCell ref="A13:C1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1"/>
  <sheetViews>
    <sheetView zoomScale="70" zoomScaleNormal="70" zoomScalePageLayoutView="0" workbookViewId="0" topLeftCell="A60">
      <selection activeCell="M64" sqref="M64"/>
    </sheetView>
  </sheetViews>
  <sheetFormatPr defaultColWidth="9.00390625" defaultRowHeight="12.75"/>
  <cols>
    <col min="1" max="1" width="40.125" style="232" customWidth="1"/>
    <col min="2" max="2" width="105.00390625" style="217" customWidth="1"/>
    <col min="3" max="3" width="24.875" style="216" bestFit="1" customWidth="1"/>
    <col min="4" max="5" width="24.875" style="216" hidden="1" customWidth="1"/>
    <col min="6" max="7" width="9.125" style="13" customWidth="1"/>
    <col min="8" max="8" width="23.125" style="13" bestFit="1" customWidth="1"/>
    <col min="9" max="16384" width="9.125" style="13" customWidth="1"/>
  </cols>
  <sheetData>
    <row r="1" spans="1:5" ht="17.25" customHeight="1">
      <c r="A1" s="254"/>
      <c r="B1" s="255" t="s">
        <v>1329</v>
      </c>
      <c r="C1" s="156"/>
      <c r="D1" s="156"/>
      <c r="E1" s="156"/>
    </row>
    <row r="2" spans="1:5" ht="20.25">
      <c r="A2" s="254"/>
      <c r="B2" s="256" t="s">
        <v>1327</v>
      </c>
      <c r="C2" s="156"/>
      <c r="D2" s="156"/>
      <c r="E2" s="156"/>
    </row>
    <row r="3" spans="1:5" ht="22.5" customHeight="1">
      <c r="A3" s="254"/>
      <c r="B3" s="256" t="s">
        <v>551</v>
      </c>
      <c r="C3" s="156"/>
      <c r="D3" s="156"/>
      <c r="E3" s="156"/>
    </row>
    <row r="4" spans="1:5" ht="20.25">
      <c r="A4" s="254"/>
      <c r="B4" s="256" t="s">
        <v>1322</v>
      </c>
      <c r="C4" s="6"/>
      <c r="D4" s="156"/>
      <c r="E4" s="156"/>
    </row>
    <row r="5" spans="1:5" ht="21.75" customHeight="1">
      <c r="A5" s="254"/>
      <c r="B5" s="256" t="s">
        <v>1323</v>
      </c>
      <c r="C5" s="6"/>
      <c r="D5" s="156"/>
      <c r="E5" s="156"/>
    </row>
    <row r="6" spans="1:256" ht="21.75" customHeight="1">
      <c r="A6" s="6"/>
      <c r="B6" s="172" t="s">
        <v>1330</v>
      </c>
      <c r="C6" s="6" t="s">
        <v>1312</v>
      </c>
      <c r="D6" s="6" t="s">
        <v>1312</v>
      </c>
      <c r="E6" s="6" t="s">
        <v>1312</v>
      </c>
      <c r="F6" s="6" t="s">
        <v>1312</v>
      </c>
      <c r="G6" s="6" t="s">
        <v>1312</v>
      </c>
      <c r="H6" s="6" t="s">
        <v>1312</v>
      </c>
      <c r="I6" s="6" t="s">
        <v>1312</v>
      </c>
      <c r="J6" s="6" t="s">
        <v>1312</v>
      </c>
      <c r="K6" s="6" t="s">
        <v>1312</v>
      </c>
      <c r="L6" s="6" t="s">
        <v>1312</v>
      </c>
      <c r="M6" s="6" t="s">
        <v>1312</v>
      </c>
      <c r="N6" s="6" t="s">
        <v>1312</v>
      </c>
      <c r="O6" s="6" t="s">
        <v>1312</v>
      </c>
      <c r="P6" s="6" t="s">
        <v>1312</v>
      </c>
      <c r="Q6" s="6" t="s">
        <v>1312</v>
      </c>
      <c r="R6" s="6" t="s">
        <v>1312</v>
      </c>
      <c r="S6" s="6" t="s">
        <v>1312</v>
      </c>
      <c r="T6" s="6" t="s">
        <v>1312</v>
      </c>
      <c r="U6" s="6" t="s">
        <v>1312</v>
      </c>
      <c r="V6" s="6" t="s">
        <v>1312</v>
      </c>
      <c r="W6" s="6" t="s">
        <v>1312</v>
      </c>
      <c r="X6" s="6" t="s">
        <v>1312</v>
      </c>
      <c r="Y6" s="6" t="s">
        <v>1312</v>
      </c>
      <c r="Z6" s="6" t="s">
        <v>1312</v>
      </c>
      <c r="AA6" s="6" t="s">
        <v>1312</v>
      </c>
      <c r="AB6" s="6" t="s">
        <v>1312</v>
      </c>
      <c r="AC6" s="6" t="s">
        <v>1312</v>
      </c>
      <c r="AD6" s="6" t="s">
        <v>1312</v>
      </c>
      <c r="AE6" s="6" t="s">
        <v>1312</v>
      </c>
      <c r="AF6" s="6" t="s">
        <v>1312</v>
      </c>
      <c r="AG6" s="6" t="s">
        <v>1312</v>
      </c>
      <c r="AH6" s="6" t="s">
        <v>1312</v>
      </c>
      <c r="AI6" s="6" t="s">
        <v>1312</v>
      </c>
      <c r="AJ6" s="6" t="s">
        <v>1312</v>
      </c>
      <c r="AK6" s="6" t="s">
        <v>1312</v>
      </c>
      <c r="AL6" s="6" t="s">
        <v>1312</v>
      </c>
      <c r="AM6" s="6" t="s">
        <v>1312</v>
      </c>
      <c r="AN6" s="6" t="s">
        <v>1312</v>
      </c>
      <c r="AO6" s="6" t="s">
        <v>1312</v>
      </c>
      <c r="AP6" s="6" t="s">
        <v>1312</v>
      </c>
      <c r="AQ6" s="6" t="s">
        <v>1312</v>
      </c>
      <c r="AR6" s="6" t="s">
        <v>1312</v>
      </c>
      <c r="AS6" s="6" t="s">
        <v>1312</v>
      </c>
      <c r="AT6" s="6" t="s">
        <v>1312</v>
      </c>
      <c r="AU6" s="6" t="s">
        <v>1312</v>
      </c>
      <c r="AV6" s="6" t="s">
        <v>1312</v>
      </c>
      <c r="AW6" s="6" t="s">
        <v>1312</v>
      </c>
      <c r="AX6" s="6" t="s">
        <v>1312</v>
      </c>
      <c r="AY6" s="6" t="s">
        <v>1312</v>
      </c>
      <c r="AZ6" s="6" t="s">
        <v>1312</v>
      </c>
      <c r="BA6" s="6" t="s">
        <v>1312</v>
      </c>
      <c r="BB6" s="6" t="s">
        <v>1312</v>
      </c>
      <c r="BC6" s="6" t="s">
        <v>1312</v>
      </c>
      <c r="BD6" s="6" t="s">
        <v>1312</v>
      </c>
      <c r="BE6" s="6" t="s">
        <v>1312</v>
      </c>
      <c r="BF6" s="6" t="s">
        <v>1312</v>
      </c>
      <c r="BG6" s="6" t="s">
        <v>1312</v>
      </c>
      <c r="BH6" s="6" t="s">
        <v>1312</v>
      </c>
      <c r="BI6" s="6" t="s">
        <v>1312</v>
      </c>
      <c r="BJ6" s="6" t="s">
        <v>1312</v>
      </c>
      <c r="BK6" s="6" t="s">
        <v>1312</v>
      </c>
      <c r="BL6" s="6" t="s">
        <v>1312</v>
      </c>
      <c r="BM6" s="6" t="s">
        <v>1312</v>
      </c>
      <c r="BN6" s="6" t="s">
        <v>1312</v>
      </c>
      <c r="BO6" s="6" t="s">
        <v>1312</v>
      </c>
      <c r="BP6" s="6" t="s">
        <v>1312</v>
      </c>
      <c r="BQ6" s="6" t="s">
        <v>1312</v>
      </c>
      <c r="BR6" s="6" t="s">
        <v>1312</v>
      </c>
      <c r="BS6" s="6" t="s">
        <v>1312</v>
      </c>
      <c r="BT6" s="6" t="s">
        <v>1312</v>
      </c>
      <c r="BU6" s="6" t="s">
        <v>1312</v>
      </c>
      <c r="BV6" s="6" t="s">
        <v>1312</v>
      </c>
      <c r="BW6" s="6" t="s">
        <v>1312</v>
      </c>
      <c r="BX6" s="6" t="s">
        <v>1312</v>
      </c>
      <c r="BY6" s="6" t="s">
        <v>1312</v>
      </c>
      <c r="BZ6" s="6" t="s">
        <v>1312</v>
      </c>
      <c r="CA6" s="6" t="s">
        <v>1312</v>
      </c>
      <c r="CB6" s="6" t="s">
        <v>1312</v>
      </c>
      <c r="CC6" s="6" t="s">
        <v>1312</v>
      </c>
      <c r="CD6" s="6" t="s">
        <v>1312</v>
      </c>
      <c r="CE6" s="6" t="s">
        <v>1312</v>
      </c>
      <c r="CF6" s="6" t="s">
        <v>1312</v>
      </c>
      <c r="CG6" s="6" t="s">
        <v>1312</v>
      </c>
      <c r="CH6" s="6" t="s">
        <v>1312</v>
      </c>
      <c r="CI6" s="6" t="s">
        <v>1312</v>
      </c>
      <c r="CJ6" s="6" t="s">
        <v>1312</v>
      </c>
      <c r="CK6" s="6" t="s">
        <v>1312</v>
      </c>
      <c r="CL6" s="6" t="s">
        <v>1312</v>
      </c>
      <c r="CM6" s="6" t="s">
        <v>1312</v>
      </c>
      <c r="CN6" s="6" t="s">
        <v>1312</v>
      </c>
      <c r="CO6" s="6" t="s">
        <v>1312</v>
      </c>
      <c r="CP6" s="6" t="s">
        <v>1312</v>
      </c>
      <c r="CQ6" s="6" t="s">
        <v>1312</v>
      </c>
      <c r="CR6" s="6" t="s">
        <v>1312</v>
      </c>
      <c r="CS6" s="6" t="s">
        <v>1312</v>
      </c>
      <c r="CT6" s="6" t="s">
        <v>1312</v>
      </c>
      <c r="CU6" s="6" t="s">
        <v>1312</v>
      </c>
      <c r="CV6" s="6" t="s">
        <v>1312</v>
      </c>
      <c r="CW6" s="6" t="s">
        <v>1312</v>
      </c>
      <c r="CX6" s="6" t="s">
        <v>1312</v>
      </c>
      <c r="CY6" s="6" t="s">
        <v>1312</v>
      </c>
      <c r="CZ6" s="6" t="s">
        <v>1312</v>
      </c>
      <c r="DA6" s="6" t="s">
        <v>1312</v>
      </c>
      <c r="DB6" s="6" t="s">
        <v>1312</v>
      </c>
      <c r="DC6" s="6" t="s">
        <v>1312</v>
      </c>
      <c r="DD6" s="6" t="s">
        <v>1312</v>
      </c>
      <c r="DE6" s="6" t="s">
        <v>1312</v>
      </c>
      <c r="DF6" s="6" t="s">
        <v>1312</v>
      </c>
      <c r="DG6" s="6" t="s">
        <v>1312</v>
      </c>
      <c r="DH6" s="6" t="s">
        <v>1312</v>
      </c>
      <c r="DI6" s="6" t="s">
        <v>1312</v>
      </c>
      <c r="DJ6" s="6" t="s">
        <v>1312</v>
      </c>
      <c r="DK6" s="6" t="s">
        <v>1312</v>
      </c>
      <c r="DL6" s="6" t="s">
        <v>1312</v>
      </c>
      <c r="DM6" s="6" t="s">
        <v>1312</v>
      </c>
      <c r="DN6" s="6" t="s">
        <v>1312</v>
      </c>
      <c r="DO6" s="6" t="s">
        <v>1312</v>
      </c>
      <c r="DP6" s="6" t="s">
        <v>1312</v>
      </c>
      <c r="DQ6" s="6" t="s">
        <v>1312</v>
      </c>
      <c r="DR6" s="6" t="s">
        <v>1312</v>
      </c>
      <c r="DS6" s="6" t="s">
        <v>1312</v>
      </c>
      <c r="DT6" s="6" t="s">
        <v>1312</v>
      </c>
      <c r="DU6" s="6" t="s">
        <v>1312</v>
      </c>
      <c r="DV6" s="6" t="s">
        <v>1312</v>
      </c>
      <c r="DW6" s="6" t="s">
        <v>1312</v>
      </c>
      <c r="DX6" s="6" t="s">
        <v>1312</v>
      </c>
      <c r="DY6" s="6" t="s">
        <v>1312</v>
      </c>
      <c r="DZ6" s="6" t="s">
        <v>1312</v>
      </c>
      <c r="EA6" s="6" t="s">
        <v>1312</v>
      </c>
      <c r="EB6" s="6" t="s">
        <v>1312</v>
      </c>
      <c r="EC6" s="6" t="s">
        <v>1312</v>
      </c>
      <c r="ED6" s="6" t="s">
        <v>1312</v>
      </c>
      <c r="EE6" s="6" t="s">
        <v>1312</v>
      </c>
      <c r="EF6" s="6" t="s">
        <v>1312</v>
      </c>
      <c r="EG6" s="6" t="s">
        <v>1312</v>
      </c>
      <c r="EH6" s="6" t="s">
        <v>1312</v>
      </c>
      <c r="EI6" s="6" t="s">
        <v>1312</v>
      </c>
      <c r="EJ6" s="6" t="s">
        <v>1312</v>
      </c>
      <c r="EK6" s="6" t="s">
        <v>1312</v>
      </c>
      <c r="EL6" s="6" t="s">
        <v>1312</v>
      </c>
      <c r="EM6" s="6" t="s">
        <v>1312</v>
      </c>
      <c r="EN6" s="6" t="s">
        <v>1312</v>
      </c>
      <c r="EO6" s="6" t="s">
        <v>1312</v>
      </c>
      <c r="EP6" s="6" t="s">
        <v>1312</v>
      </c>
      <c r="EQ6" s="6" t="s">
        <v>1312</v>
      </c>
      <c r="ER6" s="6" t="s">
        <v>1312</v>
      </c>
      <c r="ES6" s="6" t="s">
        <v>1312</v>
      </c>
      <c r="ET6" s="6" t="s">
        <v>1312</v>
      </c>
      <c r="EU6" s="6" t="s">
        <v>1312</v>
      </c>
      <c r="EV6" s="6" t="s">
        <v>1312</v>
      </c>
      <c r="EW6" s="6" t="s">
        <v>1312</v>
      </c>
      <c r="EX6" s="6" t="s">
        <v>1312</v>
      </c>
      <c r="EY6" s="6" t="s">
        <v>1312</v>
      </c>
      <c r="EZ6" s="6" t="s">
        <v>1312</v>
      </c>
      <c r="FA6" s="6" t="s">
        <v>1312</v>
      </c>
      <c r="FB6" s="6" t="s">
        <v>1312</v>
      </c>
      <c r="FC6" s="6" t="s">
        <v>1312</v>
      </c>
      <c r="FD6" s="6" t="s">
        <v>1312</v>
      </c>
      <c r="FE6" s="6" t="s">
        <v>1312</v>
      </c>
      <c r="FF6" s="6" t="s">
        <v>1312</v>
      </c>
      <c r="FG6" s="6" t="s">
        <v>1312</v>
      </c>
      <c r="FH6" s="6" t="s">
        <v>1312</v>
      </c>
      <c r="FI6" s="6" t="s">
        <v>1312</v>
      </c>
      <c r="FJ6" s="6" t="s">
        <v>1312</v>
      </c>
      <c r="FK6" s="6" t="s">
        <v>1312</v>
      </c>
      <c r="FL6" s="6" t="s">
        <v>1312</v>
      </c>
      <c r="FM6" s="6" t="s">
        <v>1312</v>
      </c>
      <c r="FN6" s="6" t="s">
        <v>1312</v>
      </c>
      <c r="FO6" s="6" t="s">
        <v>1312</v>
      </c>
      <c r="FP6" s="6" t="s">
        <v>1312</v>
      </c>
      <c r="FQ6" s="6" t="s">
        <v>1312</v>
      </c>
      <c r="FR6" s="6" t="s">
        <v>1312</v>
      </c>
      <c r="FS6" s="6" t="s">
        <v>1312</v>
      </c>
      <c r="FT6" s="6" t="s">
        <v>1312</v>
      </c>
      <c r="FU6" s="6" t="s">
        <v>1312</v>
      </c>
      <c r="FV6" s="6" t="s">
        <v>1312</v>
      </c>
      <c r="FW6" s="6" t="s">
        <v>1312</v>
      </c>
      <c r="FX6" s="6" t="s">
        <v>1312</v>
      </c>
      <c r="FY6" s="6" t="s">
        <v>1312</v>
      </c>
      <c r="FZ6" s="6" t="s">
        <v>1312</v>
      </c>
      <c r="GA6" s="6" t="s">
        <v>1312</v>
      </c>
      <c r="GB6" s="6" t="s">
        <v>1312</v>
      </c>
      <c r="GC6" s="6" t="s">
        <v>1312</v>
      </c>
      <c r="GD6" s="6" t="s">
        <v>1312</v>
      </c>
      <c r="GE6" s="6" t="s">
        <v>1312</v>
      </c>
      <c r="GF6" s="6" t="s">
        <v>1312</v>
      </c>
      <c r="GG6" s="6" t="s">
        <v>1312</v>
      </c>
      <c r="GH6" s="6" t="s">
        <v>1312</v>
      </c>
      <c r="GI6" s="6" t="s">
        <v>1312</v>
      </c>
      <c r="GJ6" s="6" t="s">
        <v>1312</v>
      </c>
      <c r="GK6" s="6" t="s">
        <v>1312</v>
      </c>
      <c r="GL6" s="6" t="s">
        <v>1312</v>
      </c>
      <c r="GM6" s="6" t="s">
        <v>1312</v>
      </c>
      <c r="GN6" s="6" t="s">
        <v>1312</v>
      </c>
      <c r="GO6" s="6" t="s">
        <v>1312</v>
      </c>
      <c r="GP6" s="6" t="s">
        <v>1312</v>
      </c>
      <c r="GQ6" s="6" t="s">
        <v>1312</v>
      </c>
      <c r="GR6" s="6" t="s">
        <v>1312</v>
      </c>
      <c r="GS6" s="6" t="s">
        <v>1312</v>
      </c>
      <c r="GT6" s="6" t="s">
        <v>1312</v>
      </c>
      <c r="GU6" s="6" t="s">
        <v>1312</v>
      </c>
      <c r="GV6" s="6" t="s">
        <v>1312</v>
      </c>
      <c r="GW6" s="6" t="s">
        <v>1312</v>
      </c>
      <c r="GX6" s="6" t="s">
        <v>1312</v>
      </c>
      <c r="GY6" s="6" t="s">
        <v>1312</v>
      </c>
      <c r="GZ6" s="6" t="s">
        <v>1312</v>
      </c>
      <c r="HA6" s="6" t="s">
        <v>1312</v>
      </c>
      <c r="HB6" s="6" t="s">
        <v>1312</v>
      </c>
      <c r="HC6" s="6" t="s">
        <v>1312</v>
      </c>
      <c r="HD6" s="6" t="s">
        <v>1312</v>
      </c>
      <c r="HE6" s="6" t="s">
        <v>1312</v>
      </c>
      <c r="HF6" s="6" t="s">
        <v>1312</v>
      </c>
      <c r="HG6" s="6" t="s">
        <v>1312</v>
      </c>
      <c r="HH6" s="6" t="s">
        <v>1312</v>
      </c>
      <c r="HI6" s="6" t="s">
        <v>1312</v>
      </c>
      <c r="HJ6" s="6" t="s">
        <v>1312</v>
      </c>
      <c r="HK6" s="6" t="s">
        <v>1312</v>
      </c>
      <c r="HL6" s="6" t="s">
        <v>1312</v>
      </c>
      <c r="HM6" s="6" t="s">
        <v>1312</v>
      </c>
      <c r="HN6" s="6" t="s">
        <v>1312</v>
      </c>
      <c r="HO6" s="6" t="s">
        <v>1312</v>
      </c>
      <c r="HP6" s="6" t="s">
        <v>1312</v>
      </c>
      <c r="HQ6" s="6" t="s">
        <v>1312</v>
      </c>
      <c r="HR6" s="6" t="s">
        <v>1312</v>
      </c>
      <c r="HS6" s="6" t="s">
        <v>1312</v>
      </c>
      <c r="HT6" s="6" t="s">
        <v>1312</v>
      </c>
      <c r="HU6" s="6" t="s">
        <v>1312</v>
      </c>
      <c r="HV6" s="6" t="s">
        <v>1312</v>
      </c>
      <c r="HW6" s="6" t="s">
        <v>1312</v>
      </c>
      <c r="HX6" s="6" t="s">
        <v>1312</v>
      </c>
      <c r="HY6" s="6" t="s">
        <v>1312</v>
      </c>
      <c r="HZ6" s="6" t="s">
        <v>1312</v>
      </c>
      <c r="IA6" s="6" t="s">
        <v>1312</v>
      </c>
      <c r="IB6" s="6" t="s">
        <v>1312</v>
      </c>
      <c r="IC6" s="6" t="s">
        <v>1312</v>
      </c>
      <c r="ID6" s="6" t="s">
        <v>1312</v>
      </c>
      <c r="IE6" s="6" t="s">
        <v>1312</v>
      </c>
      <c r="IF6" s="6" t="s">
        <v>1312</v>
      </c>
      <c r="IG6" s="6" t="s">
        <v>1312</v>
      </c>
      <c r="IH6" s="6" t="s">
        <v>1312</v>
      </c>
      <c r="II6" s="6" t="s">
        <v>1312</v>
      </c>
      <c r="IJ6" s="6" t="s">
        <v>1312</v>
      </c>
      <c r="IK6" s="6" t="s">
        <v>1312</v>
      </c>
      <c r="IL6" s="6" t="s">
        <v>1312</v>
      </c>
      <c r="IM6" s="6" t="s">
        <v>1312</v>
      </c>
      <c r="IN6" s="6" t="s">
        <v>1312</v>
      </c>
      <c r="IO6" s="6" t="s">
        <v>1312</v>
      </c>
      <c r="IP6" s="6" t="s">
        <v>1312</v>
      </c>
      <c r="IQ6" s="6" t="s">
        <v>1312</v>
      </c>
      <c r="IR6" s="6" t="s">
        <v>1312</v>
      </c>
      <c r="IS6" s="6" t="s">
        <v>1312</v>
      </c>
      <c r="IT6" s="6" t="s">
        <v>1312</v>
      </c>
      <c r="IU6" s="6" t="s">
        <v>1312</v>
      </c>
      <c r="IV6" s="6" t="s">
        <v>1312</v>
      </c>
    </row>
    <row r="7" spans="1:5" ht="24" customHeight="1">
      <c r="A7" s="254"/>
      <c r="B7" s="256" t="s">
        <v>983</v>
      </c>
      <c r="C7" s="156"/>
      <c r="D7" s="156"/>
      <c r="E7" s="156"/>
    </row>
    <row r="8" spans="1:5" ht="24" customHeight="1">
      <c r="A8" s="254"/>
      <c r="B8" s="218" t="s">
        <v>1346</v>
      </c>
      <c r="C8" s="156"/>
      <c r="D8" s="156"/>
      <c r="E8" s="156"/>
    </row>
    <row r="9" spans="2:5" ht="21.75" customHeight="1">
      <c r="B9" s="172"/>
      <c r="C9" s="6"/>
      <c r="D9" s="6"/>
      <c r="E9" s="6"/>
    </row>
    <row r="10" spans="1:5" ht="20.25">
      <c r="A10" s="258" t="s">
        <v>587</v>
      </c>
      <c r="B10" s="258"/>
      <c r="C10" s="258"/>
      <c r="D10" s="258"/>
      <c r="E10" s="258"/>
    </row>
    <row r="11" spans="1:5" ht="20.25">
      <c r="A11" s="258" t="s">
        <v>588</v>
      </c>
      <c r="B11" s="258"/>
      <c r="C11" s="258"/>
      <c r="D11" s="258"/>
      <c r="E11" s="258"/>
    </row>
    <row r="12" spans="1:5" ht="20.25" customHeight="1">
      <c r="A12" s="259" t="s">
        <v>993</v>
      </c>
      <c r="B12" s="259"/>
      <c r="C12" s="259"/>
      <c r="D12" s="259"/>
      <c r="E12" s="259"/>
    </row>
    <row r="13" spans="1:5" ht="20.25" customHeight="1">
      <c r="A13" s="250"/>
      <c r="B13" s="250"/>
      <c r="C13" s="250"/>
      <c r="D13" s="250"/>
      <c r="E13" s="250"/>
    </row>
    <row r="14" spans="1:5" ht="20.25">
      <c r="A14" s="233"/>
      <c r="B14" s="173"/>
      <c r="C14" s="158" t="s">
        <v>474</v>
      </c>
      <c r="D14" s="158"/>
      <c r="E14" s="158" t="s">
        <v>474</v>
      </c>
    </row>
    <row r="15" spans="1:5" s="177" customFormat="1" ht="46.5" customHeight="1">
      <c r="A15" s="174" t="s">
        <v>589</v>
      </c>
      <c r="B15" s="175" t="s">
        <v>590</v>
      </c>
      <c r="C15" s="176" t="s">
        <v>985</v>
      </c>
      <c r="D15" s="176" t="s">
        <v>986</v>
      </c>
      <c r="E15" s="176" t="s">
        <v>992</v>
      </c>
    </row>
    <row r="16" spans="1:5" s="181" customFormat="1" ht="20.25" customHeight="1">
      <c r="A16" s="178" t="s">
        <v>591</v>
      </c>
      <c r="B16" s="179" t="s">
        <v>592</v>
      </c>
      <c r="C16" s="180">
        <f>C17+C31+C50+C60+C67+C75+C84+C139+C56+C165+C22+C97</f>
        <v>395149952</v>
      </c>
      <c r="D16" s="180" t="e">
        <f>D17+D31+D50+D60+D67+D75+D84+D139+D56+D165+D22+D97</f>
        <v>#REF!</v>
      </c>
      <c r="E16" s="180" t="e">
        <f>E17+E31+E50+E60+E67+E75+E84+E139+E56+E165+E22+E97</f>
        <v>#REF!</v>
      </c>
    </row>
    <row r="17" spans="1:5" s="181" customFormat="1" ht="20.25">
      <c r="A17" s="182" t="s">
        <v>593</v>
      </c>
      <c r="B17" s="183" t="s">
        <v>594</v>
      </c>
      <c r="C17" s="180">
        <f>C18</f>
        <v>263355100</v>
      </c>
      <c r="D17" s="180">
        <f>D18</f>
        <v>280159700</v>
      </c>
      <c r="E17" s="180">
        <f>E18</f>
        <v>298041300</v>
      </c>
    </row>
    <row r="18" spans="1:5" s="181" customFormat="1" ht="20.25">
      <c r="A18" s="182" t="s">
        <v>595</v>
      </c>
      <c r="B18" s="183" t="s">
        <v>596</v>
      </c>
      <c r="C18" s="184">
        <f>C19+C20+C21</f>
        <v>263355100</v>
      </c>
      <c r="D18" s="184">
        <f>D19+D20+D21</f>
        <v>280159700</v>
      </c>
      <c r="E18" s="184">
        <f>E19+E20+E21</f>
        <v>298041300</v>
      </c>
    </row>
    <row r="19" spans="1:5" s="181" customFormat="1" ht="87" customHeight="1">
      <c r="A19" s="182" t="s">
        <v>597</v>
      </c>
      <c r="B19" s="183" t="s">
        <v>598</v>
      </c>
      <c r="C19" s="184">
        <v>259958200</v>
      </c>
      <c r="D19" s="184">
        <v>276577900</v>
      </c>
      <c r="E19" s="184">
        <v>294262800</v>
      </c>
    </row>
    <row r="20" spans="1:5" s="181" customFormat="1" ht="126" customHeight="1">
      <c r="A20" s="182" t="s">
        <v>599</v>
      </c>
      <c r="B20" s="183" t="s">
        <v>600</v>
      </c>
      <c r="C20" s="180">
        <v>1264100</v>
      </c>
      <c r="D20" s="180">
        <v>1344800</v>
      </c>
      <c r="E20" s="180">
        <v>1430600</v>
      </c>
    </row>
    <row r="21" spans="1:5" s="181" customFormat="1" ht="48" customHeight="1">
      <c r="A21" s="182" t="s">
        <v>601</v>
      </c>
      <c r="B21" s="183" t="s">
        <v>602</v>
      </c>
      <c r="C21" s="180">
        <v>2132800</v>
      </c>
      <c r="D21" s="180">
        <v>2237000</v>
      </c>
      <c r="E21" s="180">
        <v>2347900</v>
      </c>
    </row>
    <row r="22" spans="1:5" s="181" customFormat="1" ht="40.5">
      <c r="A22" s="182" t="s">
        <v>603</v>
      </c>
      <c r="B22" s="183" t="s">
        <v>604</v>
      </c>
      <c r="C22" s="180">
        <f>C23</f>
        <v>21645800</v>
      </c>
      <c r="D22" s="180">
        <f>D23</f>
        <v>21645800</v>
      </c>
      <c r="E22" s="180">
        <f>E23</f>
        <v>21645800</v>
      </c>
    </row>
    <row r="23" spans="1:5" s="181" customFormat="1" ht="40.5">
      <c r="A23" s="182" t="s">
        <v>605</v>
      </c>
      <c r="B23" s="183" t="s">
        <v>606</v>
      </c>
      <c r="C23" s="180">
        <f>C24+C26+C28+C30</f>
        <v>21645800</v>
      </c>
      <c r="D23" s="180">
        <f>D24+D26+D28+D30</f>
        <v>21645800</v>
      </c>
      <c r="E23" s="180">
        <f>E24+E26+E28+E30</f>
        <v>21645800</v>
      </c>
    </row>
    <row r="24" spans="1:5" s="181" customFormat="1" ht="81">
      <c r="A24" s="182" t="s">
        <v>607</v>
      </c>
      <c r="B24" s="183" t="s">
        <v>608</v>
      </c>
      <c r="C24" s="180">
        <f>C25</f>
        <v>9437600</v>
      </c>
      <c r="D24" s="180">
        <f>D25</f>
        <v>9437600</v>
      </c>
      <c r="E24" s="180">
        <f>E25</f>
        <v>9437600</v>
      </c>
    </row>
    <row r="25" spans="1:5" s="181" customFormat="1" ht="121.5">
      <c r="A25" s="182" t="s">
        <v>609</v>
      </c>
      <c r="B25" s="183" t="s">
        <v>610</v>
      </c>
      <c r="C25" s="231">
        <v>9437600</v>
      </c>
      <c r="D25" s="231">
        <v>9437600</v>
      </c>
      <c r="E25" s="231">
        <v>9437600</v>
      </c>
    </row>
    <row r="26" spans="1:5" s="181" customFormat="1" ht="115.5" customHeight="1">
      <c r="A26" s="182" t="s">
        <v>611</v>
      </c>
      <c r="B26" s="183" t="s">
        <v>612</v>
      </c>
      <c r="C26" s="231">
        <f>C27</f>
        <v>86600</v>
      </c>
      <c r="D26" s="231">
        <f>D27</f>
        <v>86600</v>
      </c>
      <c r="E26" s="231">
        <f>E27</f>
        <v>86600</v>
      </c>
    </row>
    <row r="27" spans="1:5" s="181" customFormat="1" ht="155.25" customHeight="1">
      <c r="A27" s="182" t="s">
        <v>613</v>
      </c>
      <c r="B27" s="183" t="s">
        <v>614</v>
      </c>
      <c r="C27" s="231">
        <v>86600</v>
      </c>
      <c r="D27" s="231">
        <v>86600</v>
      </c>
      <c r="E27" s="231">
        <v>86600</v>
      </c>
    </row>
    <row r="28" spans="1:5" s="181" customFormat="1" ht="81">
      <c r="A28" s="182" t="s">
        <v>615</v>
      </c>
      <c r="B28" s="183" t="s">
        <v>616</v>
      </c>
      <c r="C28" s="231">
        <f>C29</f>
        <v>12121600</v>
      </c>
      <c r="D28" s="231">
        <f>D29</f>
        <v>12121600</v>
      </c>
      <c r="E28" s="231">
        <f>E29</f>
        <v>12121600</v>
      </c>
    </row>
    <row r="29" spans="1:5" s="181" customFormat="1" ht="121.5">
      <c r="A29" s="182" t="s">
        <v>617</v>
      </c>
      <c r="B29" s="183" t="s">
        <v>618</v>
      </c>
      <c r="C29" s="231">
        <v>12121600</v>
      </c>
      <c r="D29" s="231">
        <v>12121600</v>
      </c>
      <c r="E29" s="231">
        <v>12121600</v>
      </c>
    </row>
    <row r="30" spans="1:5" s="181" customFormat="1" ht="81" hidden="1">
      <c r="A30" s="182" t="s">
        <v>619</v>
      </c>
      <c r="B30" s="183" t="s">
        <v>620</v>
      </c>
      <c r="C30" s="231"/>
      <c r="D30" s="231"/>
      <c r="E30" s="231"/>
    </row>
    <row r="31" spans="1:5" s="181" customFormat="1" ht="20.25">
      <c r="A31" s="182" t="s">
        <v>621</v>
      </c>
      <c r="B31" s="183" t="s">
        <v>622</v>
      </c>
      <c r="C31" s="231">
        <f>C42+C45+C48</f>
        <v>6920600</v>
      </c>
      <c r="D31" s="231">
        <f>D42+D45+D48</f>
        <v>2897800</v>
      </c>
      <c r="E31" s="231">
        <f>E42+E45+E48</f>
        <v>1986000</v>
      </c>
    </row>
    <row r="32" spans="1:5" s="181" customFormat="1" ht="40.5" customHeight="1" hidden="1">
      <c r="A32" s="182" t="s">
        <v>623</v>
      </c>
      <c r="B32" s="185" t="s">
        <v>624</v>
      </c>
      <c r="C32" s="180">
        <f>C33+C36+C39</f>
        <v>0</v>
      </c>
      <c r="D32" s="180">
        <f>D33+D36+D39</f>
        <v>0</v>
      </c>
      <c r="E32" s="180">
        <f>E33+E36+E39</f>
        <v>0</v>
      </c>
    </row>
    <row r="33" spans="1:5" s="181" customFormat="1" ht="40.5" customHeight="1" hidden="1">
      <c r="A33" s="182" t="s">
        <v>625</v>
      </c>
      <c r="B33" s="183" t="s">
        <v>626</v>
      </c>
      <c r="C33" s="180">
        <f>C34+C35</f>
        <v>0</v>
      </c>
      <c r="D33" s="180">
        <f>D34+D35</f>
        <v>0</v>
      </c>
      <c r="E33" s="180">
        <f>E34+E35</f>
        <v>0</v>
      </c>
    </row>
    <row r="34" spans="1:5" s="181" customFormat="1" ht="40.5" customHeight="1" hidden="1">
      <c r="A34" s="182" t="s">
        <v>627</v>
      </c>
      <c r="B34" s="183" t="s">
        <v>628</v>
      </c>
      <c r="C34" s="180"/>
      <c r="D34" s="180"/>
      <c r="E34" s="180"/>
    </row>
    <row r="35" spans="1:5" s="181" customFormat="1" ht="60.75" customHeight="1" hidden="1">
      <c r="A35" s="182" t="s">
        <v>629</v>
      </c>
      <c r="B35" s="183" t="s">
        <v>630</v>
      </c>
      <c r="C35" s="180"/>
      <c r="D35" s="180"/>
      <c r="E35" s="180"/>
    </row>
    <row r="36" spans="1:5" s="181" customFormat="1" ht="40.5" customHeight="1" hidden="1">
      <c r="A36" s="182" t="s">
        <v>631</v>
      </c>
      <c r="B36" s="183" t="s">
        <v>632</v>
      </c>
      <c r="C36" s="180">
        <f>C37+C38</f>
        <v>0</v>
      </c>
      <c r="D36" s="180">
        <f>D37+D38</f>
        <v>0</v>
      </c>
      <c r="E36" s="180">
        <f>E37+E38</f>
        <v>0</v>
      </c>
    </row>
    <row r="37" spans="1:5" s="181" customFormat="1" ht="40.5" customHeight="1" hidden="1">
      <c r="A37" s="182" t="s">
        <v>633</v>
      </c>
      <c r="B37" s="183" t="s">
        <v>632</v>
      </c>
      <c r="C37" s="180"/>
      <c r="D37" s="180"/>
      <c r="E37" s="180"/>
    </row>
    <row r="38" spans="1:5" s="181" customFormat="1" ht="60.75" customHeight="1" hidden="1">
      <c r="A38" s="182" t="s">
        <v>634</v>
      </c>
      <c r="B38" s="183" t="s">
        <v>635</v>
      </c>
      <c r="C38" s="180"/>
      <c r="D38" s="180"/>
      <c r="E38" s="180"/>
    </row>
    <row r="39" spans="1:5" s="181" customFormat="1" ht="40.5" customHeight="1" hidden="1">
      <c r="A39" s="182" t="s">
        <v>636</v>
      </c>
      <c r="B39" s="179" t="s">
        <v>637</v>
      </c>
      <c r="C39" s="180">
        <f>C40+C41</f>
        <v>0</v>
      </c>
      <c r="D39" s="180">
        <f>D40+D41</f>
        <v>0</v>
      </c>
      <c r="E39" s="180">
        <f>E40+E41</f>
        <v>0</v>
      </c>
    </row>
    <row r="40" spans="1:5" s="181" customFormat="1" ht="40.5" customHeight="1" hidden="1">
      <c r="A40" s="182" t="s">
        <v>638</v>
      </c>
      <c r="B40" s="179" t="s">
        <v>637</v>
      </c>
      <c r="C40" s="180"/>
      <c r="D40" s="180"/>
      <c r="E40" s="180"/>
    </row>
    <row r="41" spans="1:5" s="181" customFormat="1" ht="60.75" customHeight="1" hidden="1">
      <c r="A41" s="182" t="s">
        <v>639</v>
      </c>
      <c r="B41" s="179" t="s">
        <v>640</v>
      </c>
      <c r="C41" s="180"/>
      <c r="D41" s="180"/>
      <c r="E41" s="180"/>
    </row>
    <row r="42" spans="1:5" s="181" customFormat="1" ht="26.25" customHeight="1">
      <c r="A42" s="182" t="s">
        <v>641</v>
      </c>
      <c r="B42" s="183" t="s">
        <v>642</v>
      </c>
      <c r="C42" s="180">
        <f>C43+C44</f>
        <v>5322000</v>
      </c>
      <c r="D42" s="180">
        <f>D43+D44</f>
        <v>1120000</v>
      </c>
      <c r="E42" s="180">
        <f>E43+E44</f>
        <v>0</v>
      </c>
    </row>
    <row r="43" spans="1:5" s="181" customFormat="1" ht="20.25">
      <c r="A43" s="182" t="s">
        <v>643</v>
      </c>
      <c r="B43" s="183" t="s">
        <v>642</v>
      </c>
      <c r="C43" s="180">
        <v>5322000</v>
      </c>
      <c r="D43" s="180">
        <v>1120000</v>
      </c>
      <c r="E43" s="180">
        <v>0</v>
      </c>
    </row>
    <row r="44" spans="1:5" s="181" customFormat="1" ht="40.5" hidden="1">
      <c r="A44" s="182" t="s">
        <v>644</v>
      </c>
      <c r="B44" s="183" t="s">
        <v>645</v>
      </c>
      <c r="C44" s="180">
        <v>0</v>
      </c>
      <c r="D44" s="180">
        <v>0</v>
      </c>
      <c r="E44" s="180">
        <v>0</v>
      </c>
    </row>
    <row r="45" spans="1:5" s="181" customFormat="1" ht="20.25">
      <c r="A45" s="182" t="s">
        <v>646</v>
      </c>
      <c r="B45" s="183" t="s">
        <v>647</v>
      </c>
      <c r="C45" s="180">
        <f>C46+C47</f>
        <v>939600</v>
      </c>
      <c r="D45" s="180">
        <f>D46+D47</f>
        <v>1035800</v>
      </c>
      <c r="E45" s="180">
        <f>E46+E47</f>
        <v>1141000</v>
      </c>
    </row>
    <row r="46" spans="1:5" s="181" customFormat="1" ht="18.75" customHeight="1">
      <c r="A46" s="186" t="s">
        <v>648</v>
      </c>
      <c r="B46" s="187" t="s">
        <v>647</v>
      </c>
      <c r="C46" s="180">
        <v>939600</v>
      </c>
      <c r="D46" s="180">
        <v>1035800</v>
      </c>
      <c r="E46" s="180">
        <v>1141000</v>
      </c>
    </row>
    <row r="47" spans="1:5" s="181" customFormat="1" ht="40.5" customHeight="1" hidden="1">
      <c r="A47" s="186" t="s">
        <v>649</v>
      </c>
      <c r="B47" s="187" t="s">
        <v>650</v>
      </c>
      <c r="C47" s="180">
        <v>0</v>
      </c>
      <c r="D47" s="180">
        <v>0</v>
      </c>
      <c r="E47" s="180">
        <v>0</v>
      </c>
    </row>
    <row r="48" spans="1:5" s="181" customFormat="1" ht="34.5" customHeight="1">
      <c r="A48" s="186" t="s">
        <v>651</v>
      </c>
      <c r="B48" s="187" t="s">
        <v>652</v>
      </c>
      <c r="C48" s="180">
        <f>C49</f>
        <v>659000</v>
      </c>
      <c r="D48" s="180">
        <f>D49</f>
        <v>742000</v>
      </c>
      <c r="E48" s="180">
        <f>E49</f>
        <v>845000</v>
      </c>
    </row>
    <row r="49" spans="1:5" s="181" customFormat="1" ht="53.25" customHeight="1">
      <c r="A49" s="186" t="s">
        <v>653</v>
      </c>
      <c r="B49" s="187" t="s">
        <v>654</v>
      </c>
      <c r="C49" s="180">
        <v>659000</v>
      </c>
      <c r="D49" s="180">
        <v>742000</v>
      </c>
      <c r="E49" s="180">
        <v>845000</v>
      </c>
    </row>
    <row r="50" spans="1:5" s="181" customFormat="1" ht="20.25">
      <c r="A50" s="182" t="s">
        <v>655</v>
      </c>
      <c r="B50" s="183" t="s">
        <v>656</v>
      </c>
      <c r="C50" s="180">
        <f>C51+C53</f>
        <v>5250000</v>
      </c>
      <c r="D50" s="180">
        <f>D51+D53</f>
        <v>5452000</v>
      </c>
      <c r="E50" s="180">
        <f>E51+E53</f>
        <v>5493000</v>
      </c>
    </row>
    <row r="51" spans="1:5" s="181" customFormat="1" ht="55.5" customHeight="1">
      <c r="A51" s="182" t="s">
        <v>657</v>
      </c>
      <c r="B51" s="183" t="s">
        <v>658</v>
      </c>
      <c r="C51" s="180">
        <f>C52</f>
        <v>5250000</v>
      </c>
      <c r="D51" s="180">
        <f>D52</f>
        <v>5452000</v>
      </c>
      <c r="E51" s="180">
        <f>E52</f>
        <v>5493000</v>
      </c>
    </row>
    <row r="52" spans="1:5" s="181" customFormat="1" ht="65.25" customHeight="1">
      <c r="A52" s="182" t="s">
        <v>659</v>
      </c>
      <c r="B52" s="183" t="s">
        <v>660</v>
      </c>
      <c r="C52" s="180">
        <v>5250000</v>
      </c>
      <c r="D52" s="180">
        <v>5452000</v>
      </c>
      <c r="E52" s="180">
        <v>5493000</v>
      </c>
    </row>
    <row r="53" spans="1:5" s="181" customFormat="1" ht="40.5" hidden="1">
      <c r="A53" s="182" t="s">
        <v>661</v>
      </c>
      <c r="B53" s="183" t="s">
        <v>662</v>
      </c>
      <c r="C53" s="180">
        <f>C55+C54</f>
        <v>0</v>
      </c>
      <c r="D53" s="180">
        <f>D55+D54</f>
        <v>0</v>
      </c>
      <c r="E53" s="180">
        <f>E55+E54</f>
        <v>0</v>
      </c>
    </row>
    <row r="54" spans="1:5" s="181" customFormat="1" ht="81" customHeight="1" hidden="1">
      <c r="A54" s="182" t="s">
        <v>663</v>
      </c>
      <c r="B54" s="183" t="s">
        <v>664</v>
      </c>
      <c r="C54" s="180">
        <f>1800000-1800000</f>
        <v>0</v>
      </c>
      <c r="D54" s="180">
        <f>1800000-1800000</f>
        <v>0</v>
      </c>
      <c r="E54" s="180">
        <f>1800000-1800000</f>
        <v>0</v>
      </c>
    </row>
    <row r="55" spans="1:5" s="181" customFormat="1" ht="40.5" hidden="1">
      <c r="A55" s="182" t="s">
        <v>665</v>
      </c>
      <c r="B55" s="183" t="s">
        <v>666</v>
      </c>
      <c r="C55" s="180"/>
      <c r="D55" s="180"/>
      <c r="E55" s="180"/>
    </row>
    <row r="56" spans="1:5" s="181" customFormat="1" ht="40.5" hidden="1">
      <c r="A56" s="182" t="s">
        <v>667</v>
      </c>
      <c r="B56" s="183" t="s">
        <v>668</v>
      </c>
      <c r="C56" s="180"/>
      <c r="D56" s="180"/>
      <c r="E56" s="180"/>
    </row>
    <row r="57" spans="1:5" s="181" customFormat="1" ht="20.25" hidden="1">
      <c r="A57" s="182" t="s">
        <v>669</v>
      </c>
      <c r="B57" s="183" t="s">
        <v>670</v>
      </c>
      <c r="C57" s="180"/>
      <c r="D57" s="180"/>
      <c r="E57" s="180"/>
    </row>
    <row r="58" spans="1:5" s="181" customFormat="1" ht="60.75" hidden="1">
      <c r="A58" s="182" t="s">
        <v>671</v>
      </c>
      <c r="B58" s="183" t="s">
        <v>672</v>
      </c>
      <c r="C58" s="180"/>
      <c r="D58" s="180"/>
      <c r="E58" s="180"/>
    </row>
    <row r="59" spans="1:5" s="181" customFormat="1" ht="60.75" hidden="1">
      <c r="A59" s="182" t="s">
        <v>673</v>
      </c>
      <c r="B59" s="183" t="s">
        <v>674</v>
      </c>
      <c r="C59" s="180"/>
      <c r="D59" s="180"/>
      <c r="E59" s="180"/>
    </row>
    <row r="60" spans="1:5" s="181" customFormat="1" ht="40.5">
      <c r="A60" s="182" t="s">
        <v>675</v>
      </c>
      <c r="B60" s="183" t="s">
        <v>676</v>
      </c>
      <c r="C60" s="180">
        <f>C61</f>
        <v>73114202</v>
      </c>
      <c r="D60" s="180">
        <f>D61</f>
        <v>71902130</v>
      </c>
      <c r="E60" s="180">
        <f>E61</f>
        <v>71902130</v>
      </c>
    </row>
    <row r="61" spans="1:5" s="181" customFormat="1" ht="106.5" customHeight="1">
      <c r="A61" s="182" t="s">
        <v>677</v>
      </c>
      <c r="B61" s="183" t="s">
        <v>678</v>
      </c>
      <c r="C61" s="180">
        <f>C62+C65</f>
        <v>73114202</v>
      </c>
      <c r="D61" s="180">
        <f>D62+D65</f>
        <v>71902130</v>
      </c>
      <c r="E61" s="180">
        <f>E62+E65</f>
        <v>71902130</v>
      </c>
    </row>
    <row r="62" spans="1:5" s="181" customFormat="1" ht="79.5" customHeight="1">
      <c r="A62" s="182" t="s">
        <v>679</v>
      </c>
      <c r="B62" s="183" t="s">
        <v>680</v>
      </c>
      <c r="C62" s="180">
        <f>C63+C64</f>
        <v>72734202</v>
      </c>
      <c r="D62" s="180">
        <f>D63+D64</f>
        <v>71522130</v>
      </c>
      <c r="E62" s="180">
        <f>E63+E64</f>
        <v>71522130</v>
      </c>
    </row>
    <row r="63" spans="1:5" s="181" customFormat="1" ht="105.75" customHeight="1">
      <c r="A63" s="182" t="s">
        <v>681</v>
      </c>
      <c r="B63" s="188" t="s">
        <v>682</v>
      </c>
      <c r="C63" s="180">
        <f>69522130+1212072</f>
        <v>70734202</v>
      </c>
      <c r="D63" s="180">
        <v>69522130</v>
      </c>
      <c r="E63" s="180">
        <v>69522130</v>
      </c>
    </row>
    <row r="64" spans="1:5" s="181" customFormat="1" ht="88.5" customHeight="1">
      <c r="A64" s="182" t="s">
        <v>683</v>
      </c>
      <c r="B64" s="188" t="s">
        <v>684</v>
      </c>
      <c r="C64" s="180">
        <v>2000000</v>
      </c>
      <c r="D64" s="180">
        <v>2000000</v>
      </c>
      <c r="E64" s="180">
        <v>2000000</v>
      </c>
    </row>
    <row r="65" spans="1:5" s="189" customFormat="1" ht="105.75" customHeight="1">
      <c r="A65" s="178" t="s">
        <v>685</v>
      </c>
      <c r="B65" s="179" t="s">
        <v>686</v>
      </c>
      <c r="C65" s="180">
        <f>C66</f>
        <v>380000</v>
      </c>
      <c r="D65" s="180">
        <f>D66</f>
        <v>380000</v>
      </c>
      <c r="E65" s="180">
        <f>E66</f>
        <v>380000</v>
      </c>
    </row>
    <row r="66" spans="1:5" s="189" customFormat="1" ht="84.75" customHeight="1">
      <c r="A66" s="178" t="s">
        <v>687</v>
      </c>
      <c r="B66" s="179" t="s">
        <v>688</v>
      </c>
      <c r="C66" s="180">
        <v>380000</v>
      </c>
      <c r="D66" s="180">
        <v>380000</v>
      </c>
      <c r="E66" s="180">
        <v>380000</v>
      </c>
    </row>
    <row r="67" spans="1:5" s="181" customFormat="1" ht="25.5" customHeight="1">
      <c r="A67" s="182" t="s">
        <v>689</v>
      </c>
      <c r="B67" s="183" t="s">
        <v>690</v>
      </c>
      <c r="C67" s="180">
        <f>C68</f>
        <v>20297500</v>
      </c>
      <c r="D67" s="180">
        <f>D68</f>
        <v>20297500</v>
      </c>
      <c r="E67" s="180">
        <f>E68</f>
        <v>20297500</v>
      </c>
    </row>
    <row r="68" spans="1:5" s="181" customFormat="1" ht="20.25">
      <c r="A68" s="182" t="s">
        <v>691</v>
      </c>
      <c r="B68" s="183" t="s">
        <v>692</v>
      </c>
      <c r="C68" s="180">
        <f>C69+C71+C72</f>
        <v>20297500</v>
      </c>
      <c r="D68" s="180">
        <f>D69+D71+D72</f>
        <v>20297500</v>
      </c>
      <c r="E68" s="180">
        <f>E69+E71+E72</f>
        <v>20297500</v>
      </c>
    </row>
    <row r="69" spans="1:5" s="181" customFormat="1" ht="40.5">
      <c r="A69" s="182" t="s">
        <v>693</v>
      </c>
      <c r="B69" s="188" t="s">
        <v>694</v>
      </c>
      <c r="C69" s="180">
        <v>165000</v>
      </c>
      <c r="D69" s="180">
        <v>165000</v>
      </c>
      <c r="E69" s="180">
        <v>165000</v>
      </c>
    </row>
    <row r="70" spans="1:5" s="181" customFormat="1" ht="40.5" hidden="1">
      <c r="A70" s="182" t="s">
        <v>695</v>
      </c>
      <c r="B70" s="188" t="s">
        <v>696</v>
      </c>
      <c r="C70" s="180"/>
      <c r="D70" s="180"/>
      <c r="E70" s="180"/>
    </row>
    <row r="71" spans="1:5" s="181" customFormat="1" ht="20.25">
      <c r="A71" s="182" t="s">
        <v>697</v>
      </c>
      <c r="B71" s="188" t="s">
        <v>698</v>
      </c>
      <c r="C71" s="180">
        <v>82500</v>
      </c>
      <c r="D71" s="180">
        <v>82500</v>
      </c>
      <c r="E71" s="180">
        <v>82500</v>
      </c>
    </row>
    <row r="72" spans="1:5" s="181" customFormat="1" ht="20.25">
      <c r="A72" s="182" t="s">
        <v>1144</v>
      </c>
      <c r="B72" s="188" t="s">
        <v>1145</v>
      </c>
      <c r="C72" s="180">
        <f>C73+C74</f>
        <v>20050000</v>
      </c>
      <c r="D72" s="180">
        <f>D73+D74</f>
        <v>20050000</v>
      </c>
      <c r="E72" s="180">
        <f>E73+E74</f>
        <v>20050000</v>
      </c>
    </row>
    <row r="73" spans="1:5" s="181" customFormat="1" ht="20.25">
      <c r="A73" s="186" t="s">
        <v>699</v>
      </c>
      <c r="B73" s="190" t="s">
        <v>700</v>
      </c>
      <c r="C73" s="184">
        <f>16225000+3000000</f>
        <v>19225000</v>
      </c>
      <c r="D73" s="184">
        <f>16225000+3000000</f>
        <v>19225000</v>
      </c>
      <c r="E73" s="184">
        <f>16225000+3000000</f>
        <v>19225000</v>
      </c>
    </row>
    <row r="74" spans="1:5" s="181" customFormat="1" ht="20.25">
      <c r="A74" s="186" t="s">
        <v>701</v>
      </c>
      <c r="B74" s="190" t="s">
        <v>702</v>
      </c>
      <c r="C74" s="184">
        <v>825000</v>
      </c>
      <c r="D74" s="184">
        <v>825000</v>
      </c>
      <c r="E74" s="184">
        <v>825000</v>
      </c>
    </row>
    <row r="75" spans="1:5" s="181" customFormat="1" ht="40.5">
      <c r="A75" s="182" t="s">
        <v>703</v>
      </c>
      <c r="B75" s="188" t="s">
        <v>704</v>
      </c>
      <c r="C75" s="180">
        <f>C76+C79</f>
        <v>1000</v>
      </c>
      <c r="D75" s="180">
        <f>D76+D79</f>
        <v>1000</v>
      </c>
      <c r="E75" s="180">
        <f>E76+E79</f>
        <v>1000</v>
      </c>
    </row>
    <row r="76" spans="1:5" s="181" customFormat="1" ht="20.25">
      <c r="A76" s="182" t="s">
        <v>705</v>
      </c>
      <c r="B76" s="188" t="s">
        <v>706</v>
      </c>
      <c r="C76" s="180">
        <f aca="true" t="shared" si="0" ref="C76:E77">C77</f>
        <v>1000</v>
      </c>
      <c r="D76" s="180">
        <f t="shared" si="0"/>
        <v>1000</v>
      </c>
      <c r="E76" s="180">
        <f t="shared" si="0"/>
        <v>1000</v>
      </c>
    </row>
    <row r="77" spans="1:5" s="181" customFormat="1" ht="20.25">
      <c r="A77" s="182" t="s">
        <v>707</v>
      </c>
      <c r="B77" s="188" t="s">
        <v>708</v>
      </c>
      <c r="C77" s="180">
        <f t="shared" si="0"/>
        <v>1000</v>
      </c>
      <c r="D77" s="180">
        <f t="shared" si="0"/>
        <v>1000</v>
      </c>
      <c r="E77" s="180">
        <f t="shared" si="0"/>
        <v>1000</v>
      </c>
    </row>
    <row r="78" spans="1:5" s="181" customFormat="1" ht="40.5">
      <c r="A78" s="182" t="s">
        <v>709</v>
      </c>
      <c r="B78" s="188" t="s">
        <v>710</v>
      </c>
      <c r="C78" s="180">
        <v>1000</v>
      </c>
      <c r="D78" s="180">
        <v>1000</v>
      </c>
      <c r="E78" s="180">
        <v>1000</v>
      </c>
    </row>
    <row r="79" spans="1:5" s="181" customFormat="1" ht="20.25" hidden="1">
      <c r="A79" s="182" t="s">
        <v>711</v>
      </c>
      <c r="B79" s="188" t="s">
        <v>712</v>
      </c>
      <c r="C79" s="180">
        <f>C82+C80</f>
        <v>0</v>
      </c>
      <c r="D79" s="180">
        <f>D82+D80</f>
        <v>0</v>
      </c>
      <c r="E79" s="180">
        <f>E82+E80</f>
        <v>0</v>
      </c>
    </row>
    <row r="80" spans="1:5" s="181" customFormat="1" ht="41.25" customHeight="1" hidden="1">
      <c r="A80" s="182" t="s">
        <v>713</v>
      </c>
      <c r="B80" s="191" t="s">
        <v>714</v>
      </c>
      <c r="C80" s="180">
        <f aca="true" t="shared" si="1" ref="C80:E82">C81</f>
        <v>0</v>
      </c>
      <c r="D80" s="180">
        <f t="shared" si="1"/>
        <v>0</v>
      </c>
      <c r="E80" s="180">
        <f t="shared" si="1"/>
        <v>0</v>
      </c>
    </row>
    <row r="81" spans="1:5" s="181" customFormat="1" ht="40.5" hidden="1">
      <c r="A81" s="182" t="s">
        <v>715</v>
      </c>
      <c r="B81" s="192" t="s">
        <v>716</v>
      </c>
      <c r="C81" s="180"/>
      <c r="D81" s="180"/>
      <c r="E81" s="180"/>
    </row>
    <row r="82" spans="1:5" s="181" customFormat="1" ht="20.25" hidden="1">
      <c r="A82" s="182" t="s">
        <v>717</v>
      </c>
      <c r="B82" s="188" t="s">
        <v>718</v>
      </c>
      <c r="C82" s="180">
        <f t="shared" si="1"/>
        <v>0</v>
      </c>
      <c r="D82" s="180">
        <f t="shared" si="1"/>
        <v>0</v>
      </c>
      <c r="E82" s="180">
        <f t="shared" si="1"/>
        <v>0</v>
      </c>
    </row>
    <row r="83" spans="1:5" s="181" customFormat="1" ht="20.25" hidden="1">
      <c r="A83" s="182" t="s">
        <v>719</v>
      </c>
      <c r="B83" s="188" t="s">
        <v>720</v>
      </c>
      <c r="C83" s="180"/>
      <c r="D83" s="180"/>
      <c r="E83" s="180"/>
    </row>
    <row r="84" spans="1:5" s="181" customFormat="1" ht="40.5">
      <c r="A84" s="182" t="s">
        <v>721</v>
      </c>
      <c r="B84" s="183" t="s">
        <v>722</v>
      </c>
      <c r="C84" s="180">
        <f>C85+C91</f>
        <v>3083250</v>
      </c>
      <c r="D84" s="180">
        <f>D85+D91</f>
        <v>3083250</v>
      </c>
      <c r="E84" s="180">
        <f>E85+E91</f>
        <v>3083250</v>
      </c>
    </row>
    <row r="85" spans="1:5" s="181" customFormat="1" ht="81">
      <c r="A85" s="182" t="s">
        <v>1241</v>
      </c>
      <c r="B85" s="183" t="s">
        <v>723</v>
      </c>
      <c r="C85" s="180">
        <f>C86+C88</f>
        <v>383250</v>
      </c>
      <c r="D85" s="180">
        <f>D86+D88</f>
        <v>3083250</v>
      </c>
      <c r="E85" s="180">
        <f>E86+E88</f>
        <v>3083250</v>
      </c>
    </row>
    <row r="86" spans="1:5" s="181" customFormat="1" ht="101.25">
      <c r="A86" s="178" t="s">
        <v>1242</v>
      </c>
      <c r="B86" s="179" t="s">
        <v>724</v>
      </c>
      <c r="C86" s="180">
        <f>C87</f>
        <v>383250</v>
      </c>
      <c r="D86" s="180">
        <f>D87</f>
        <v>383250</v>
      </c>
      <c r="E86" s="180">
        <f>E87</f>
        <v>383250</v>
      </c>
    </row>
    <row r="87" spans="1:5" s="181" customFormat="1" ht="101.25">
      <c r="A87" s="178" t="s">
        <v>1243</v>
      </c>
      <c r="B87" s="179" t="s">
        <v>727</v>
      </c>
      <c r="C87" s="180">
        <v>383250</v>
      </c>
      <c r="D87" s="180">
        <v>383250</v>
      </c>
      <c r="E87" s="180">
        <v>383250</v>
      </c>
    </row>
    <row r="88" spans="1:5" s="181" customFormat="1" ht="101.25" hidden="1">
      <c r="A88" s="178" t="s">
        <v>1244</v>
      </c>
      <c r="B88" s="179" t="s">
        <v>980</v>
      </c>
      <c r="C88" s="180">
        <f>C89+C90</f>
        <v>0</v>
      </c>
      <c r="D88" s="180">
        <f>D89+D90</f>
        <v>2700000</v>
      </c>
      <c r="E88" s="180">
        <f>E89+E90</f>
        <v>2700000</v>
      </c>
    </row>
    <row r="89" spans="1:5" s="181" customFormat="1" ht="101.25" hidden="1">
      <c r="A89" s="178" t="s">
        <v>725</v>
      </c>
      <c r="B89" s="245" t="s">
        <v>726</v>
      </c>
      <c r="C89" s="180"/>
      <c r="D89" s="180">
        <v>1500000</v>
      </c>
      <c r="E89" s="180">
        <v>1500000</v>
      </c>
    </row>
    <row r="90" spans="1:5" s="181" customFormat="1" ht="101.25" hidden="1">
      <c r="A90" s="178" t="s">
        <v>728</v>
      </c>
      <c r="B90" s="247" t="s">
        <v>729</v>
      </c>
      <c r="C90" s="180"/>
      <c r="D90" s="180">
        <v>1200000</v>
      </c>
      <c r="E90" s="180">
        <v>1200000</v>
      </c>
    </row>
    <row r="91" spans="1:5" s="181" customFormat="1" ht="40.5">
      <c r="A91" s="178" t="s">
        <v>730</v>
      </c>
      <c r="B91" s="179" t="s">
        <v>731</v>
      </c>
      <c r="C91" s="180">
        <f>C92</f>
        <v>2700000</v>
      </c>
      <c r="D91" s="180">
        <f>D92</f>
        <v>0</v>
      </c>
      <c r="E91" s="180">
        <f>E92</f>
        <v>0</v>
      </c>
    </row>
    <row r="92" spans="1:5" s="181" customFormat="1" ht="40.5">
      <c r="A92" s="178" t="s">
        <v>732</v>
      </c>
      <c r="B92" s="179" t="s">
        <v>733</v>
      </c>
      <c r="C92" s="180">
        <f>C93+C94</f>
        <v>2700000</v>
      </c>
      <c r="D92" s="180">
        <f>D93+D94</f>
        <v>0</v>
      </c>
      <c r="E92" s="180">
        <f>E93+E94</f>
        <v>0</v>
      </c>
    </row>
    <row r="93" spans="1:5" s="181" customFormat="1" ht="60.75">
      <c r="A93" s="178" t="s">
        <v>734</v>
      </c>
      <c r="B93" s="199" t="s">
        <v>735</v>
      </c>
      <c r="C93" s="204">
        <v>1500000</v>
      </c>
      <c r="D93" s="204"/>
      <c r="E93" s="204"/>
    </row>
    <row r="94" spans="1:5" s="181" customFormat="1" ht="60.75">
      <c r="A94" s="178" t="s">
        <v>736</v>
      </c>
      <c r="B94" s="199" t="s">
        <v>737</v>
      </c>
      <c r="C94" s="204">
        <v>1200000</v>
      </c>
      <c r="D94" s="204"/>
      <c r="E94" s="204"/>
    </row>
    <row r="95" spans="1:5" s="181" customFormat="1" ht="60.75" hidden="1">
      <c r="A95" s="178" t="s">
        <v>738</v>
      </c>
      <c r="B95" s="179" t="s">
        <v>739</v>
      </c>
      <c r="C95" s="204"/>
      <c r="D95" s="204"/>
      <c r="E95" s="204"/>
    </row>
    <row r="96" spans="1:5" s="181" customFormat="1" ht="60.75" hidden="1">
      <c r="A96" s="178" t="s">
        <v>740</v>
      </c>
      <c r="B96" s="179" t="s">
        <v>741</v>
      </c>
      <c r="C96" s="204"/>
      <c r="D96" s="204"/>
      <c r="E96" s="204"/>
    </row>
    <row r="97" spans="1:5" ht="20.25">
      <c r="A97" s="239" t="s">
        <v>1177</v>
      </c>
      <c r="B97" s="240" t="s">
        <v>743</v>
      </c>
      <c r="C97" s="242">
        <f>C100+C102+C104+C106+C108+C110+C132</f>
        <v>1482500</v>
      </c>
      <c r="D97" s="242" t="e">
        <f>D117+D126+D134+D137+D98+D120+D121+D130+D112+D132+D104+#REF!+#REF!+#REF!+#REF!+#REF!</f>
        <v>#REF!</v>
      </c>
      <c r="E97" s="242" t="e">
        <f>E117+E126+E134+E137+E98+E120+E121+E130+E112+E132+E104+#REF!+#REF!+#REF!+#REF!+#REF!</f>
        <v>#REF!</v>
      </c>
    </row>
    <row r="98" spans="1:5" ht="60.75" hidden="1">
      <c r="A98" s="239" t="s">
        <v>1178</v>
      </c>
      <c r="B98" s="240" t="s">
        <v>1146</v>
      </c>
      <c r="C98" s="241">
        <f>C99</f>
        <v>0</v>
      </c>
      <c r="D98" s="241">
        <f>D99</f>
        <v>0</v>
      </c>
      <c r="E98" s="241">
        <f>E99</f>
        <v>0</v>
      </c>
    </row>
    <row r="99" spans="1:5" ht="60.75" hidden="1">
      <c r="A99" s="239" t="s">
        <v>1179</v>
      </c>
      <c r="B99" s="240" t="s">
        <v>1146</v>
      </c>
      <c r="C99" s="241">
        <v>0</v>
      </c>
      <c r="D99" s="241">
        <v>0</v>
      </c>
      <c r="E99" s="241">
        <v>0</v>
      </c>
    </row>
    <row r="100" spans="1:5" ht="95.25" customHeight="1">
      <c r="A100" s="239" t="s">
        <v>1247</v>
      </c>
      <c r="B100" s="240" t="s">
        <v>1334</v>
      </c>
      <c r="C100" s="241">
        <f>C101</f>
        <v>2000</v>
      </c>
      <c r="D100" s="241"/>
      <c r="E100" s="241"/>
    </row>
    <row r="101" spans="1:5" ht="126" customHeight="1">
      <c r="A101" s="239" t="s">
        <v>1335</v>
      </c>
      <c r="B101" s="240" t="s">
        <v>1336</v>
      </c>
      <c r="C101" s="241">
        <v>2000</v>
      </c>
      <c r="D101" s="241"/>
      <c r="E101" s="241"/>
    </row>
    <row r="102" spans="1:5" ht="60.75">
      <c r="A102" s="239" t="s">
        <v>1333</v>
      </c>
      <c r="B102" s="240" t="s">
        <v>1157</v>
      </c>
      <c r="C102" s="241">
        <f>C103</f>
        <v>38500</v>
      </c>
      <c r="D102" s="241"/>
      <c r="E102" s="241"/>
    </row>
    <row r="103" spans="1:5" ht="81">
      <c r="A103" s="239" t="s">
        <v>1338</v>
      </c>
      <c r="B103" s="240" t="s">
        <v>1337</v>
      </c>
      <c r="C103" s="241">
        <v>38500</v>
      </c>
      <c r="D103" s="241"/>
      <c r="E103" s="241"/>
    </row>
    <row r="104" spans="1:5" ht="81">
      <c r="A104" s="239" t="s">
        <v>1180</v>
      </c>
      <c r="B104" s="240" t="s">
        <v>1147</v>
      </c>
      <c r="C104" s="242">
        <f>C105</f>
        <v>161000</v>
      </c>
      <c r="D104" s="242">
        <f>D105</f>
        <v>162000</v>
      </c>
      <c r="E104" s="242">
        <f>E105</f>
        <v>163000</v>
      </c>
    </row>
    <row r="105" spans="1:5" ht="101.25">
      <c r="A105" s="239" t="s">
        <v>1340</v>
      </c>
      <c r="B105" s="240" t="s">
        <v>1339</v>
      </c>
      <c r="C105" s="241">
        <v>161000</v>
      </c>
      <c r="D105" s="241">
        <v>162000</v>
      </c>
      <c r="E105" s="241">
        <v>163000</v>
      </c>
    </row>
    <row r="106" spans="1:5" ht="81">
      <c r="A106" s="239" t="s">
        <v>1195</v>
      </c>
      <c r="B106" s="240" t="s">
        <v>1170</v>
      </c>
      <c r="C106" s="241">
        <f>C107</f>
        <v>6500</v>
      </c>
      <c r="D106" s="241"/>
      <c r="E106" s="241"/>
    </row>
    <row r="107" spans="1:5" ht="101.25">
      <c r="A107" s="239" t="s">
        <v>1342</v>
      </c>
      <c r="B107" s="240" t="s">
        <v>1341</v>
      </c>
      <c r="C107" s="241">
        <v>6500</v>
      </c>
      <c r="D107" s="241"/>
      <c r="E107" s="241"/>
    </row>
    <row r="108" spans="1:5" ht="40.5">
      <c r="A108" s="239" t="s">
        <v>1198</v>
      </c>
      <c r="B108" s="240" t="s">
        <v>1173</v>
      </c>
      <c r="C108" s="241">
        <f>C109</f>
        <v>74000</v>
      </c>
      <c r="D108" s="241"/>
      <c r="E108" s="241"/>
    </row>
    <row r="109" spans="1:5" ht="60.75">
      <c r="A109" s="239" t="s">
        <v>1199</v>
      </c>
      <c r="B109" s="240" t="s">
        <v>1174</v>
      </c>
      <c r="C109" s="241">
        <v>74000</v>
      </c>
      <c r="D109" s="241"/>
      <c r="E109" s="241"/>
    </row>
    <row r="110" spans="1:5" ht="81">
      <c r="A110" s="239" t="s">
        <v>1202</v>
      </c>
      <c r="B110" s="240" t="s">
        <v>1175</v>
      </c>
      <c r="C110" s="241">
        <f>C111</f>
        <v>1000500</v>
      </c>
      <c r="D110" s="241"/>
      <c r="E110" s="241"/>
    </row>
    <row r="111" spans="1:5" ht="81">
      <c r="A111" s="239" t="s">
        <v>1203</v>
      </c>
      <c r="B111" s="240" t="s">
        <v>1176</v>
      </c>
      <c r="C111" s="241">
        <v>1000500</v>
      </c>
      <c r="D111" s="241"/>
      <c r="E111" s="241"/>
    </row>
    <row r="112" spans="1:5" ht="40.5" hidden="1">
      <c r="A112" s="239" t="s">
        <v>1181</v>
      </c>
      <c r="B112" s="240" t="s">
        <v>753</v>
      </c>
      <c r="C112" s="242">
        <f>C113</f>
        <v>0</v>
      </c>
      <c r="D112" s="242">
        <f>D113</f>
        <v>0</v>
      </c>
      <c r="E112" s="242">
        <f>E113</f>
        <v>0</v>
      </c>
    </row>
    <row r="113" spans="1:5" ht="60.75" hidden="1">
      <c r="A113" s="239" t="s">
        <v>1182</v>
      </c>
      <c r="B113" s="240" t="s">
        <v>1148</v>
      </c>
      <c r="C113" s="241">
        <v>0</v>
      </c>
      <c r="D113" s="241">
        <v>0</v>
      </c>
      <c r="E113" s="241">
        <v>0</v>
      </c>
    </row>
    <row r="114" spans="1:5" ht="20.25" hidden="1">
      <c r="A114" s="239" t="s">
        <v>1183</v>
      </c>
      <c r="B114" s="240" t="s">
        <v>1149</v>
      </c>
      <c r="C114" s="241">
        <v>0</v>
      </c>
      <c r="D114" s="241">
        <v>0</v>
      </c>
      <c r="E114" s="241">
        <v>0</v>
      </c>
    </row>
    <row r="115" spans="1:5" ht="60.75" hidden="1">
      <c r="A115" s="235" t="s">
        <v>1184</v>
      </c>
      <c r="B115" s="236" t="s">
        <v>1150</v>
      </c>
      <c r="C115" s="237">
        <v>0</v>
      </c>
      <c r="D115" s="237">
        <v>0</v>
      </c>
      <c r="E115" s="237">
        <v>0</v>
      </c>
    </row>
    <row r="116" spans="1:5" ht="81" hidden="1">
      <c r="A116" s="235" t="s">
        <v>1185</v>
      </c>
      <c r="B116" s="236" t="s">
        <v>1151</v>
      </c>
      <c r="C116" s="237">
        <v>0</v>
      </c>
      <c r="D116" s="237">
        <v>0</v>
      </c>
      <c r="E116" s="237">
        <v>0</v>
      </c>
    </row>
    <row r="117" spans="1:5" ht="101.25" hidden="1">
      <c r="A117" s="234" t="s">
        <v>1186</v>
      </c>
      <c r="B117" s="236" t="s">
        <v>1152</v>
      </c>
      <c r="C117" s="238">
        <f>C119+C118</f>
        <v>0</v>
      </c>
      <c r="D117" s="238">
        <f>D119+D118</f>
        <v>0</v>
      </c>
      <c r="E117" s="238">
        <f>E119+E118</f>
        <v>0</v>
      </c>
    </row>
    <row r="118" spans="1:5" ht="40.5" hidden="1">
      <c r="A118" s="239" t="s">
        <v>758</v>
      </c>
      <c r="B118" s="240" t="s">
        <v>759</v>
      </c>
      <c r="C118" s="241">
        <v>0</v>
      </c>
      <c r="D118" s="241">
        <v>0</v>
      </c>
      <c r="E118" s="241">
        <v>0</v>
      </c>
    </row>
    <row r="119" spans="1:5" ht="20.25" hidden="1">
      <c r="A119" s="239" t="s">
        <v>1153</v>
      </c>
      <c r="B119" s="240" t="s">
        <v>1154</v>
      </c>
      <c r="C119" s="241">
        <v>0</v>
      </c>
      <c r="D119" s="241">
        <v>0</v>
      </c>
      <c r="E119" s="241">
        <v>0</v>
      </c>
    </row>
    <row r="120" spans="1:5" ht="60.75" hidden="1">
      <c r="A120" s="239" t="s">
        <v>1187</v>
      </c>
      <c r="B120" s="240" t="s">
        <v>765</v>
      </c>
      <c r="C120" s="241">
        <v>0</v>
      </c>
      <c r="D120" s="241">
        <v>0</v>
      </c>
      <c r="E120" s="241">
        <v>0</v>
      </c>
    </row>
    <row r="121" spans="1:5" ht="40.5" hidden="1">
      <c r="A121" s="239" t="s">
        <v>1188</v>
      </c>
      <c r="B121" s="240" t="s">
        <v>767</v>
      </c>
      <c r="C121" s="242">
        <f>C125+C124+C122</f>
        <v>0</v>
      </c>
      <c r="D121" s="242">
        <f>D125+D124+D122</f>
        <v>0</v>
      </c>
      <c r="E121" s="242">
        <f>E125+E124+E122</f>
        <v>0</v>
      </c>
    </row>
    <row r="122" spans="1:5" ht="60.75" hidden="1">
      <c r="A122" s="239" t="s">
        <v>1189</v>
      </c>
      <c r="B122" s="240" t="s">
        <v>1155</v>
      </c>
      <c r="C122" s="242">
        <f>C123</f>
        <v>0</v>
      </c>
      <c r="D122" s="242">
        <f>D123</f>
        <v>0</v>
      </c>
      <c r="E122" s="242">
        <f>E123</f>
        <v>0</v>
      </c>
    </row>
    <row r="123" spans="1:5" ht="60.75" hidden="1">
      <c r="A123" s="239" t="s">
        <v>1190</v>
      </c>
      <c r="B123" s="240" t="s">
        <v>1156</v>
      </c>
      <c r="C123" s="241">
        <v>0</v>
      </c>
      <c r="D123" s="241">
        <v>0</v>
      </c>
      <c r="E123" s="241">
        <v>0</v>
      </c>
    </row>
    <row r="124" spans="1:5" ht="60.75" hidden="1">
      <c r="A124" s="239" t="s">
        <v>1158</v>
      </c>
      <c r="B124" s="240" t="s">
        <v>1159</v>
      </c>
      <c r="C124" s="248">
        <v>0</v>
      </c>
      <c r="D124" s="248">
        <v>0</v>
      </c>
      <c r="E124" s="248">
        <v>0</v>
      </c>
    </row>
    <row r="125" spans="1:5" ht="40.5" hidden="1">
      <c r="A125" s="239" t="s">
        <v>1160</v>
      </c>
      <c r="B125" s="240" t="s">
        <v>773</v>
      </c>
      <c r="C125" s="248"/>
      <c r="D125" s="248"/>
      <c r="E125" s="248"/>
    </row>
    <row r="126" spans="1:5" ht="60.75" hidden="1">
      <c r="A126" s="239" t="s">
        <v>1245</v>
      </c>
      <c r="B126" s="240" t="s">
        <v>1161</v>
      </c>
      <c r="C126" s="248">
        <f>C127</f>
        <v>0</v>
      </c>
      <c r="D126" s="248">
        <f>D127</f>
        <v>0</v>
      </c>
      <c r="E126" s="248">
        <f>E127</f>
        <v>0</v>
      </c>
    </row>
    <row r="127" spans="1:5" ht="60.75" hidden="1">
      <c r="A127" s="239" t="s">
        <v>1162</v>
      </c>
      <c r="B127" s="240" t="s">
        <v>1163</v>
      </c>
      <c r="C127" s="248"/>
      <c r="D127" s="248"/>
      <c r="E127" s="248"/>
    </row>
    <row r="128" spans="1:5" ht="60.75" hidden="1">
      <c r="A128" s="239" t="s">
        <v>1246</v>
      </c>
      <c r="B128" s="240" t="s">
        <v>1164</v>
      </c>
      <c r="C128" s="204">
        <v>0</v>
      </c>
      <c r="D128" s="204">
        <v>0</v>
      </c>
      <c r="E128" s="248">
        <v>0</v>
      </c>
    </row>
    <row r="129" spans="1:5" ht="60.75" hidden="1">
      <c r="A129" s="239" t="s">
        <v>1191</v>
      </c>
      <c r="B129" s="240" t="s">
        <v>1165</v>
      </c>
      <c r="C129" s="248">
        <v>0</v>
      </c>
      <c r="D129" s="248">
        <v>0</v>
      </c>
      <c r="E129" s="248">
        <v>0</v>
      </c>
    </row>
    <row r="130" spans="1:5" ht="20.25" hidden="1">
      <c r="A130" s="239" t="s">
        <v>1192</v>
      </c>
      <c r="B130" s="240" t="s">
        <v>1166</v>
      </c>
      <c r="C130" s="242">
        <f>C131</f>
        <v>0</v>
      </c>
      <c r="D130" s="242">
        <f>D131</f>
        <v>0</v>
      </c>
      <c r="E130" s="242">
        <f>E131</f>
        <v>0</v>
      </c>
    </row>
    <row r="131" spans="1:5" ht="40.5" hidden="1">
      <c r="A131" s="239" t="s">
        <v>1193</v>
      </c>
      <c r="B131" s="240" t="s">
        <v>782</v>
      </c>
      <c r="C131" s="241">
        <v>0</v>
      </c>
      <c r="D131" s="241">
        <v>0</v>
      </c>
      <c r="E131" s="241">
        <v>0</v>
      </c>
    </row>
    <row r="132" spans="1:5" ht="20.25">
      <c r="A132" s="243" t="s">
        <v>1344</v>
      </c>
      <c r="B132" s="244" t="s">
        <v>1167</v>
      </c>
      <c r="C132" s="242">
        <f>C133</f>
        <v>200000</v>
      </c>
      <c r="D132" s="242">
        <f>D133</f>
        <v>200000</v>
      </c>
      <c r="E132" s="242">
        <f>E133</f>
        <v>200000</v>
      </c>
    </row>
    <row r="133" spans="1:5" ht="101.25">
      <c r="A133" s="243" t="s">
        <v>1343</v>
      </c>
      <c r="B133" s="245" t="s">
        <v>1168</v>
      </c>
      <c r="C133" s="241">
        <v>200000</v>
      </c>
      <c r="D133" s="241">
        <v>200000</v>
      </c>
      <c r="E133" s="241">
        <v>200000</v>
      </c>
    </row>
    <row r="134" spans="1:5" s="1" customFormat="1" ht="81" hidden="1">
      <c r="A134" s="239" t="s">
        <v>1194</v>
      </c>
      <c r="B134" s="240" t="s">
        <v>1169</v>
      </c>
      <c r="C134" s="241">
        <v>0</v>
      </c>
      <c r="D134" s="241">
        <v>0</v>
      </c>
      <c r="E134" s="241">
        <v>0</v>
      </c>
    </row>
    <row r="135" spans="1:5" s="1" customFormat="1" ht="40.5" hidden="1">
      <c r="A135" s="239" t="s">
        <v>1196</v>
      </c>
      <c r="B135" s="240" t="s">
        <v>1171</v>
      </c>
      <c r="C135" s="241">
        <v>0</v>
      </c>
      <c r="D135" s="241">
        <v>0</v>
      </c>
      <c r="E135" s="241">
        <v>0</v>
      </c>
    </row>
    <row r="136" spans="1:5" s="1" customFormat="1" ht="60.75" hidden="1">
      <c r="A136" s="239" t="s">
        <v>1197</v>
      </c>
      <c r="B136" s="240" t="s">
        <v>1172</v>
      </c>
      <c r="C136" s="241">
        <v>0</v>
      </c>
      <c r="D136" s="241">
        <v>0</v>
      </c>
      <c r="E136" s="241">
        <v>0</v>
      </c>
    </row>
    <row r="137" spans="1:5" ht="40.5" hidden="1">
      <c r="A137" s="239" t="s">
        <v>1200</v>
      </c>
      <c r="B137" s="240" t="s">
        <v>786</v>
      </c>
      <c r="C137" s="241">
        <f>C138</f>
        <v>0</v>
      </c>
      <c r="D137" s="241">
        <f>D138</f>
        <v>0</v>
      </c>
      <c r="E137" s="241">
        <f>E138</f>
        <v>0</v>
      </c>
    </row>
    <row r="138" spans="1:5" ht="40.5" hidden="1">
      <c r="A138" s="239" t="s">
        <v>1201</v>
      </c>
      <c r="B138" s="240" t="s">
        <v>788</v>
      </c>
      <c r="C138" s="246">
        <v>0</v>
      </c>
      <c r="D138" s="246">
        <v>0</v>
      </c>
      <c r="E138" s="246">
        <v>0</v>
      </c>
    </row>
    <row r="139" spans="1:5" s="181" customFormat="1" ht="20.25" hidden="1">
      <c r="A139" s="182" t="s">
        <v>742</v>
      </c>
      <c r="B139" s="183" t="s">
        <v>743</v>
      </c>
      <c r="C139" s="204">
        <f>C140+C143+C146+C148+C152+C157+C163+C158+C160+C162+C153</f>
        <v>0</v>
      </c>
      <c r="D139" s="204">
        <f>D140+D143+D146+D148+D152+D157+D163+D158+D160+D162+D153</f>
        <v>0</v>
      </c>
      <c r="E139" s="204">
        <f>E140+E143+E146+E148+E152+E157+E163+E158+E160+E162+E153</f>
        <v>0</v>
      </c>
    </row>
    <row r="140" spans="1:5" s="181" customFormat="1" ht="60.75" hidden="1">
      <c r="A140" s="182" t="s">
        <v>744</v>
      </c>
      <c r="B140" s="183" t="s">
        <v>745</v>
      </c>
      <c r="C140" s="204">
        <f>C141</f>
        <v>0</v>
      </c>
      <c r="D140" s="204">
        <f>D141</f>
        <v>0</v>
      </c>
      <c r="E140" s="204">
        <f>E141</f>
        <v>0</v>
      </c>
    </row>
    <row r="141" spans="1:5" s="181" customFormat="1" ht="60.75" hidden="1">
      <c r="A141" s="194" t="s">
        <v>746</v>
      </c>
      <c r="B141" s="183" t="s">
        <v>747</v>
      </c>
      <c r="C141" s="204"/>
      <c r="D141" s="204"/>
      <c r="E141" s="204"/>
    </row>
    <row r="142" spans="1:5" s="181" customFormat="1" ht="60.75" hidden="1">
      <c r="A142" s="182" t="s">
        <v>748</v>
      </c>
      <c r="B142" s="183" t="s">
        <v>749</v>
      </c>
      <c r="C142" s="204"/>
      <c r="D142" s="204"/>
      <c r="E142" s="204"/>
    </row>
    <row r="143" spans="1:5" s="181" customFormat="1" ht="60.75" hidden="1">
      <c r="A143" s="182" t="s">
        <v>750</v>
      </c>
      <c r="B143" s="183" t="s">
        <v>751</v>
      </c>
      <c r="C143" s="204"/>
      <c r="D143" s="204"/>
      <c r="E143" s="204"/>
    </row>
    <row r="144" spans="1:5" s="181" customFormat="1" ht="20.25" hidden="1">
      <c r="A144" s="182"/>
      <c r="B144" s="183"/>
      <c r="C144" s="204"/>
      <c r="D144" s="204"/>
      <c r="E144" s="204"/>
    </row>
    <row r="145" spans="1:5" s="181" customFormat="1" ht="20.25" hidden="1">
      <c r="A145" s="182"/>
      <c r="B145" s="183"/>
      <c r="C145" s="204"/>
      <c r="D145" s="204"/>
      <c r="E145" s="204"/>
    </row>
    <row r="146" spans="1:5" s="181" customFormat="1" ht="40.5" hidden="1">
      <c r="A146" s="182" t="s">
        <v>752</v>
      </c>
      <c r="B146" s="183" t="s">
        <v>753</v>
      </c>
      <c r="C146" s="204">
        <f>C147</f>
        <v>0</v>
      </c>
      <c r="D146" s="204">
        <f>D147</f>
        <v>0</v>
      </c>
      <c r="E146" s="204">
        <f>E147</f>
        <v>0</v>
      </c>
    </row>
    <row r="147" spans="1:5" s="181" customFormat="1" ht="60.75" hidden="1">
      <c r="A147" s="182" t="s">
        <v>754</v>
      </c>
      <c r="B147" s="183" t="s">
        <v>755</v>
      </c>
      <c r="C147" s="204"/>
      <c r="D147" s="204"/>
      <c r="E147" s="204"/>
    </row>
    <row r="148" spans="1:5" s="181" customFormat="1" ht="121.5" hidden="1">
      <c r="A148" s="182" t="s">
        <v>756</v>
      </c>
      <c r="B148" s="183" t="s">
        <v>757</v>
      </c>
      <c r="C148" s="204">
        <f>C149+C150+C151</f>
        <v>0</v>
      </c>
      <c r="D148" s="204">
        <f>D149+D150+D151</f>
        <v>0</v>
      </c>
      <c r="E148" s="204">
        <f>E149+E150+E151</f>
        <v>0</v>
      </c>
    </row>
    <row r="149" spans="1:5" s="181" customFormat="1" ht="40.5" hidden="1">
      <c r="A149" s="182" t="s">
        <v>758</v>
      </c>
      <c r="B149" s="193" t="s">
        <v>759</v>
      </c>
      <c r="C149" s="204"/>
      <c r="D149" s="204"/>
      <c r="E149" s="204"/>
    </row>
    <row r="150" spans="1:5" s="181" customFormat="1" ht="40.5" hidden="1">
      <c r="A150" s="182" t="s">
        <v>760</v>
      </c>
      <c r="B150" s="183" t="s">
        <v>761</v>
      </c>
      <c r="C150" s="204">
        <v>0</v>
      </c>
      <c r="D150" s="204">
        <v>0</v>
      </c>
      <c r="E150" s="204">
        <v>0</v>
      </c>
    </row>
    <row r="151" spans="1:5" s="181" customFormat="1" ht="20.25" hidden="1">
      <c r="A151" s="182" t="s">
        <v>762</v>
      </c>
      <c r="B151" s="183" t="s">
        <v>763</v>
      </c>
      <c r="C151" s="204"/>
      <c r="D151" s="204"/>
      <c r="E151" s="204"/>
    </row>
    <row r="152" spans="1:5" s="181" customFormat="1" ht="60.75" hidden="1">
      <c r="A152" s="182" t="s">
        <v>764</v>
      </c>
      <c r="B152" s="183" t="s">
        <v>765</v>
      </c>
      <c r="C152" s="204"/>
      <c r="D152" s="204"/>
      <c r="E152" s="204"/>
    </row>
    <row r="153" spans="1:5" s="181" customFormat="1" ht="40.5" hidden="1">
      <c r="A153" s="182" t="s">
        <v>766</v>
      </c>
      <c r="B153" s="183" t="s">
        <v>767</v>
      </c>
      <c r="C153" s="204">
        <f aca="true" t="shared" si="2" ref="C153:E154">C154</f>
        <v>0</v>
      </c>
      <c r="D153" s="204">
        <f t="shared" si="2"/>
        <v>0</v>
      </c>
      <c r="E153" s="204">
        <f t="shared" si="2"/>
        <v>0</v>
      </c>
    </row>
    <row r="154" spans="1:5" s="181" customFormat="1" ht="60.75" hidden="1">
      <c r="A154" s="182" t="s">
        <v>768</v>
      </c>
      <c r="B154" s="183" t="s">
        <v>769</v>
      </c>
      <c r="C154" s="204">
        <f t="shared" si="2"/>
        <v>0</v>
      </c>
      <c r="D154" s="204">
        <f t="shared" si="2"/>
        <v>0</v>
      </c>
      <c r="E154" s="204">
        <f t="shared" si="2"/>
        <v>0</v>
      </c>
    </row>
    <row r="155" spans="1:5" s="181" customFormat="1" ht="60.75" hidden="1">
      <c r="A155" s="195" t="s">
        <v>770</v>
      </c>
      <c r="B155" s="196" t="s">
        <v>771</v>
      </c>
      <c r="C155" s="204"/>
      <c r="D155" s="204"/>
      <c r="E155" s="204"/>
    </row>
    <row r="156" spans="1:5" s="181" customFormat="1" ht="40.5" hidden="1">
      <c r="A156" s="182" t="s">
        <v>772</v>
      </c>
      <c r="B156" s="183" t="s">
        <v>773</v>
      </c>
      <c r="C156" s="204">
        <v>0</v>
      </c>
      <c r="D156" s="204">
        <v>0</v>
      </c>
      <c r="E156" s="204">
        <v>0</v>
      </c>
    </row>
    <row r="157" spans="1:5" s="181" customFormat="1" ht="60.75" hidden="1">
      <c r="A157" s="197" t="s">
        <v>774</v>
      </c>
      <c r="B157" s="183" t="s">
        <v>765</v>
      </c>
      <c r="C157" s="204">
        <v>0</v>
      </c>
      <c r="D157" s="204">
        <v>0</v>
      </c>
      <c r="E157" s="204">
        <v>0</v>
      </c>
    </row>
    <row r="158" spans="1:5" s="198" customFormat="1" ht="60.75" hidden="1">
      <c r="A158" s="182" t="s">
        <v>775</v>
      </c>
      <c r="B158" s="183" t="s">
        <v>776</v>
      </c>
      <c r="C158" s="204">
        <f>C159</f>
        <v>0</v>
      </c>
      <c r="D158" s="204">
        <f>D159</f>
        <v>0</v>
      </c>
      <c r="E158" s="204">
        <f>E159</f>
        <v>0</v>
      </c>
    </row>
    <row r="159" spans="1:5" s="198" customFormat="1" ht="81" hidden="1">
      <c r="A159" s="182" t="s">
        <v>777</v>
      </c>
      <c r="B159" s="183" t="s">
        <v>778</v>
      </c>
      <c r="C159" s="204"/>
      <c r="D159" s="204"/>
      <c r="E159" s="204"/>
    </row>
    <row r="160" spans="1:5" s="198" customFormat="1" ht="20.25" hidden="1">
      <c r="A160" s="182" t="s">
        <v>779</v>
      </c>
      <c r="B160" s="188" t="s">
        <v>780</v>
      </c>
      <c r="C160" s="204">
        <f>C161</f>
        <v>0</v>
      </c>
      <c r="D160" s="204">
        <f>D161</f>
        <v>0</v>
      </c>
      <c r="E160" s="204">
        <f>E161</f>
        <v>0</v>
      </c>
    </row>
    <row r="161" spans="1:5" s="198" customFormat="1" ht="40.5" hidden="1">
      <c r="A161" s="182" t="s">
        <v>781</v>
      </c>
      <c r="B161" s="188" t="s">
        <v>782</v>
      </c>
      <c r="C161" s="204"/>
      <c r="D161" s="204"/>
      <c r="E161" s="204"/>
    </row>
    <row r="162" spans="1:5" s="198" customFormat="1" ht="83.25" customHeight="1" hidden="1">
      <c r="A162" s="182" t="s">
        <v>783</v>
      </c>
      <c r="B162" s="183" t="s">
        <v>784</v>
      </c>
      <c r="C162" s="204"/>
      <c r="D162" s="204"/>
      <c r="E162" s="204"/>
    </row>
    <row r="163" spans="1:5" s="181" customFormat="1" ht="50.25" customHeight="1" hidden="1">
      <c r="A163" s="197" t="s">
        <v>785</v>
      </c>
      <c r="B163" s="183" t="s">
        <v>786</v>
      </c>
      <c r="C163" s="204">
        <f>C164</f>
        <v>0</v>
      </c>
      <c r="D163" s="204">
        <f>D164</f>
        <v>0</v>
      </c>
      <c r="E163" s="204">
        <f>E164</f>
        <v>0</v>
      </c>
    </row>
    <row r="164" spans="1:5" s="181" customFormat="1" ht="51.75" customHeight="1" hidden="1">
      <c r="A164" s="197" t="s">
        <v>787</v>
      </c>
      <c r="B164" s="183" t="s">
        <v>788</v>
      </c>
      <c r="C164" s="204"/>
      <c r="D164" s="204"/>
      <c r="E164" s="204"/>
    </row>
    <row r="165" spans="1:5" s="200" customFormat="1" ht="81" customHeight="1" hidden="1">
      <c r="A165" s="178" t="s">
        <v>789</v>
      </c>
      <c r="B165" s="199" t="s">
        <v>790</v>
      </c>
      <c r="C165" s="204"/>
      <c r="D165" s="204"/>
      <c r="E165" s="204"/>
    </row>
    <row r="166" spans="1:5" s="200" customFormat="1" ht="60.75" customHeight="1" hidden="1">
      <c r="A166" s="201" t="s">
        <v>791</v>
      </c>
      <c r="B166" s="199" t="s">
        <v>792</v>
      </c>
      <c r="C166" s="204"/>
      <c r="D166" s="204"/>
      <c r="E166" s="204"/>
    </row>
    <row r="167" spans="1:5" s="200" customFormat="1" ht="60.75" hidden="1">
      <c r="A167" s="201" t="s">
        <v>793</v>
      </c>
      <c r="B167" s="199" t="s">
        <v>794</v>
      </c>
      <c r="C167" s="204"/>
      <c r="D167" s="204"/>
      <c r="E167" s="204"/>
    </row>
    <row r="168" spans="1:5" s="181" customFormat="1" ht="21.75" customHeight="1">
      <c r="A168" s="182" t="s">
        <v>795</v>
      </c>
      <c r="B168" s="183" t="s">
        <v>796</v>
      </c>
      <c r="C168" s="204">
        <f>C169+C256</f>
        <v>1016813230.64</v>
      </c>
      <c r="D168" s="204">
        <f>D169+D256</f>
        <v>707718131</v>
      </c>
      <c r="E168" s="204">
        <f>E169+E256</f>
        <v>856512846</v>
      </c>
    </row>
    <row r="169" spans="1:5" s="181" customFormat="1" ht="44.25" customHeight="1">
      <c r="A169" s="182" t="s">
        <v>797</v>
      </c>
      <c r="B169" s="183" t="s">
        <v>798</v>
      </c>
      <c r="C169" s="180">
        <f>C170+C175+C222+C243</f>
        <v>1016813230.64</v>
      </c>
      <c r="D169" s="180">
        <f>D170+D175+D222+D243</f>
        <v>707718131</v>
      </c>
      <c r="E169" s="180">
        <f>E170+E175+E222+E243</f>
        <v>856512846</v>
      </c>
    </row>
    <row r="170" spans="1:5" s="181" customFormat="1" ht="42.75" customHeight="1">
      <c r="A170" s="202" t="s">
        <v>799</v>
      </c>
      <c r="B170" s="183" t="s">
        <v>800</v>
      </c>
      <c r="C170" s="204">
        <f>C171+C173</f>
        <v>40692000</v>
      </c>
      <c r="D170" s="204">
        <f>D171+D173</f>
        <v>35064000</v>
      </c>
      <c r="E170" s="204">
        <f>E171+E173</f>
        <v>13623000</v>
      </c>
    </row>
    <row r="171" spans="1:5" s="181" customFormat="1" ht="27.75" customHeight="1">
      <c r="A171" s="202" t="s">
        <v>801</v>
      </c>
      <c r="B171" s="203" t="s">
        <v>802</v>
      </c>
      <c r="C171" s="204">
        <f>C172</f>
        <v>40510000</v>
      </c>
      <c r="D171" s="204">
        <f>D172</f>
        <v>35064000</v>
      </c>
      <c r="E171" s="204">
        <f>E172</f>
        <v>13623000</v>
      </c>
    </row>
    <row r="172" spans="1:5" s="181" customFormat="1" ht="40.5">
      <c r="A172" s="202" t="s">
        <v>803</v>
      </c>
      <c r="B172" s="203" t="s">
        <v>1249</v>
      </c>
      <c r="C172" s="204">
        <v>40510000</v>
      </c>
      <c r="D172" s="204">
        <v>35064000</v>
      </c>
      <c r="E172" s="204">
        <v>13623000</v>
      </c>
    </row>
    <row r="173" spans="1:5" s="181" customFormat="1" ht="40.5">
      <c r="A173" s="178" t="s">
        <v>804</v>
      </c>
      <c r="B173" s="183" t="s">
        <v>805</v>
      </c>
      <c r="C173" s="180">
        <f>C174</f>
        <v>182000</v>
      </c>
      <c r="D173" s="180">
        <f>D174</f>
        <v>0</v>
      </c>
      <c r="E173" s="180">
        <f>E174</f>
        <v>0</v>
      </c>
    </row>
    <row r="174" spans="1:5" s="181" customFormat="1" ht="40.5">
      <c r="A174" s="178" t="s">
        <v>806</v>
      </c>
      <c r="B174" s="183" t="s">
        <v>807</v>
      </c>
      <c r="C174" s="204">
        <v>182000</v>
      </c>
      <c r="D174" s="204">
        <v>0</v>
      </c>
      <c r="E174" s="204">
        <v>0</v>
      </c>
    </row>
    <row r="175" spans="1:5" s="181" customFormat="1" ht="40.5">
      <c r="A175" s="182" t="s">
        <v>808</v>
      </c>
      <c r="B175" s="183" t="s">
        <v>809</v>
      </c>
      <c r="C175" s="180">
        <f>C190+C176+C178+C180++C182+C184+C220+C192+C186+C188+C194+C198+C200+C202+C206+C208+C210+C212+C216+C204+C196+C214+C218</f>
        <v>250914930.54</v>
      </c>
      <c r="D175" s="180">
        <f>D190+D176+D178+D180++D182+D184+D220+D192+D186+D188+D194+D198+D200+D202+D206+D208+D210+D212+D216+D204+D196+D214+D218</f>
        <v>27112131</v>
      </c>
      <c r="E175" s="180">
        <f>E190+E176+E178+E180++E182+E184+E220+E192+E186+E188+E194+E198+E200+E202+E206+E208+E210+E212+E216+E204+E196+E214+E218</f>
        <v>133032846</v>
      </c>
    </row>
    <row r="176" spans="1:5" s="181" customFormat="1" ht="60.75" hidden="1">
      <c r="A176" s="202" t="s">
        <v>810</v>
      </c>
      <c r="B176" s="203" t="s">
        <v>811</v>
      </c>
      <c r="C176" s="180">
        <f>C177</f>
        <v>0</v>
      </c>
      <c r="D176" s="180">
        <f>D177</f>
        <v>0</v>
      </c>
      <c r="E176" s="180">
        <f>E177</f>
        <v>0</v>
      </c>
    </row>
    <row r="177" spans="1:5" s="181" customFormat="1" ht="81" hidden="1">
      <c r="A177" s="202" t="s">
        <v>812</v>
      </c>
      <c r="B177" s="203" t="s">
        <v>813</v>
      </c>
      <c r="C177" s="180"/>
      <c r="D177" s="180"/>
      <c r="E177" s="180"/>
    </row>
    <row r="178" spans="1:5" s="181" customFormat="1" ht="20.25" hidden="1">
      <c r="A178" s="178" t="s">
        <v>814</v>
      </c>
      <c r="B178" s="205" t="s">
        <v>815</v>
      </c>
      <c r="C178" s="180">
        <f>C179</f>
        <v>0</v>
      </c>
      <c r="D178" s="180">
        <f>D179</f>
        <v>0</v>
      </c>
      <c r="E178" s="180">
        <f>E179</f>
        <v>0</v>
      </c>
    </row>
    <row r="179" spans="1:5" s="181" customFormat="1" ht="40.5" hidden="1">
      <c r="A179" s="178" t="s">
        <v>816</v>
      </c>
      <c r="B179" s="205" t="s">
        <v>817</v>
      </c>
      <c r="C179" s="180"/>
      <c r="D179" s="180"/>
      <c r="E179" s="180"/>
    </row>
    <row r="180" spans="1:5" s="181" customFormat="1" ht="40.5" hidden="1">
      <c r="A180" s="202" t="s">
        <v>818</v>
      </c>
      <c r="B180" s="203" t="s">
        <v>819</v>
      </c>
      <c r="C180" s="180">
        <f>C181</f>
        <v>0</v>
      </c>
      <c r="D180" s="180">
        <f>D181</f>
        <v>0</v>
      </c>
      <c r="E180" s="180">
        <f>E181</f>
        <v>0</v>
      </c>
    </row>
    <row r="181" spans="1:5" s="181" customFormat="1" ht="40.5" hidden="1">
      <c r="A181" s="202" t="s">
        <v>820</v>
      </c>
      <c r="B181" s="203" t="s">
        <v>821</v>
      </c>
      <c r="C181" s="180"/>
      <c r="D181" s="180"/>
      <c r="E181" s="180"/>
    </row>
    <row r="182" spans="1:5" s="181" customFormat="1" ht="81" hidden="1">
      <c r="A182" s="202" t="s">
        <v>822</v>
      </c>
      <c r="B182" s="203" t="s">
        <v>823</v>
      </c>
      <c r="C182" s="180">
        <f>C183</f>
        <v>0</v>
      </c>
      <c r="D182" s="180">
        <f>D183</f>
        <v>0</v>
      </c>
      <c r="E182" s="180">
        <f>E183</f>
        <v>0</v>
      </c>
    </row>
    <row r="183" spans="1:5" s="181" customFormat="1" ht="81" hidden="1">
      <c r="A183" s="202" t="s">
        <v>824</v>
      </c>
      <c r="B183" s="203" t="s">
        <v>825</v>
      </c>
      <c r="C183" s="180"/>
      <c r="D183" s="180"/>
      <c r="E183" s="180"/>
    </row>
    <row r="184" spans="1:5" s="181" customFormat="1" ht="141.75" hidden="1">
      <c r="A184" s="202" t="s">
        <v>826</v>
      </c>
      <c r="B184" s="203" t="s">
        <v>827</v>
      </c>
      <c r="C184" s="180">
        <f>C185</f>
        <v>0</v>
      </c>
      <c r="D184" s="180">
        <f>D185</f>
        <v>0</v>
      </c>
      <c r="E184" s="180">
        <f>E185</f>
        <v>0</v>
      </c>
    </row>
    <row r="185" spans="1:5" s="181" customFormat="1" ht="141.75" hidden="1">
      <c r="A185" s="202" t="s">
        <v>828</v>
      </c>
      <c r="B185" s="203" t="s">
        <v>829</v>
      </c>
      <c r="C185" s="204"/>
      <c r="D185" s="204"/>
      <c r="E185" s="204"/>
    </row>
    <row r="186" spans="1:5" s="181" customFormat="1" ht="101.25" hidden="1">
      <c r="A186" s="202" t="s">
        <v>830</v>
      </c>
      <c r="B186" s="206" t="s">
        <v>831</v>
      </c>
      <c r="C186" s="180">
        <f>C187</f>
        <v>0</v>
      </c>
      <c r="D186" s="180">
        <f>D187</f>
        <v>0</v>
      </c>
      <c r="E186" s="180">
        <f>E187</f>
        <v>0</v>
      </c>
    </row>
    <row r="187" spans="1:5" s="181" customFormat="1" ht="121.5" hidden="1">
      <c r="A187" s="202" t="s">
        <v>832</v>
      </c>
      <c r="B187" s="206" t="s">
        <v>833</v>
      </c>
      <c r="C187" s="204"/>
      <c r="D187" s="204"/>
      <c r="E187" s="204"/>
    </row>
    <row r="188" spans="1:5" s="181" customFormat="1" ht="40.5" hidden="1">
      <c r="A188" s="202" t="s">
        <v>834</v>
      </c>
      <c r="B188" s="203" t="s">
        <v>835</v>
      </c>
      <c r="C188" s="180">
        <f>C189</f>
        <v>0</v>
      </c>
      <c r="D188" s="180">
        <f>D189</f>
        <v>0</v>
      </c>
      <c r="E188" s="180">
        <f>E189</f>
        <v>0</v>
      </c>
    </row>
    <row r="189" spans="1:5" s="181" customFormat="1" ht="60.75" hidden="1">
      <c r="A189" s="202" t="s">
        <v>836</v>
      </c>
      <c r="B189" s="203" t="s">
        <v>837</v>
      </c>
      <c r="C189" s="180"/>
      <c r="D189" s="180"/>
      <c r="E189" s="180"/>
    </row>
    <row r="190" spans="1:5" s="181" customFormat="1" ht="40.5" hidden="1">
      <c r="A190" s="202" t="s">
        <v>838</v>
      </c>
      <c r="B190" s="203" t="s">
        <v>839</v>
      </c>
      <c r="C190" s="180">
        <f>C191</f>
        <v>0</v>
      </c>
      <c r="D190" s="180">
        <f>D191</f>
        <v>0</v>
      </c>
      <c r="E190" s="180">
        <f>E191</f>
        <v>0</v>
      </c>
    </row>
    <row r="191" spans="1:5" s="181" customFormat="1" ht="60.75" hidden="1">
      <c r="A191" s="202" t="s">
        <v>840</v>
      </c>
      <c r="B191" s="203" t="s">
        <v>841</v>
      </c>
      <c r="C191" s="180"/>
      <c r="D191" s="180"/>
      <c r="E191" s="180"/>
    </row>
    <row r="192" spans="1:5" s="181" customFormat="1" ht="60.75" hidden="1">
      <c r="A192" s="202" t="s">
        <v>842</v>
      </c>
      <c r="B192" s="203" t="s">
        <v>843</v>
      </c>
      <c r="C192" s="180">
        <f>C193</f>
        <v>0</v>
      </c>
      <c r="D192" s="180">
        <f>D193</f>
        <v>0</v>
      </c>
      <c r="E192" s="180">
        <f>E193</f>
        <v>2240825</v>
      </c>
    </row>
    <row r="193" spans="1:5" s="181" customFormat="1" ht="60.75" hidden="1">
      <c r="A193" s="202" t="s">
        <v>844</v>
      </c>
      <c r="B193" s="203" t="s">
        <v>845</v>
      </c>
      <c r="C193" s="180">
        <v>0</v>
      </c>
      <c r="D193" s="180">
        <v>0</v>
      </c>
      <c r="E193" s="180">
        <v>2240825</v>
      </c>
    </row>
    <row r="194" spans="1:5" s="181" customFormat="1" ht="81">
      <c r="A194" s="202" t="s">
        <v>846</v>
      </c>
      <c r="B194" s="203" t="s">
        <v>847</v>
      </c>
      <c r="C194" s="180">
        <f>C195</f>
        <v>51570880</v>
      </c>
      <c r="D194" s="180">
        <f>D195</f>
        <v>0</v>
      </c>
      <c r="E194" s="180">
        <f>E195</f>
        <v>0</v>
      </c>
    </row>
    <row r="195" spans="1:5" s="181" customFormat="1" ht="81">
      <c r="A195" s="202" t="s">
        <v>848</v>
      </c>
      <c r="B195" s="203" t="s">
        <v>849</v>
      </c>
      <c r="C195" s="180">
        <f>52091797.99-520917.99</f>
        <v>51570880</v>
      </c>
      <c r="D195" s="180">
        <v>0</v>
      </c>
      <c r="E195" s="180">
        <v>0</v>
      </c>
    </row>
    <row r="196" spans="1:5" s="181" customFormat="1" ht="60.75">
      <c r="A196" s="178" t="s">
        <v>1256</v>
      </c>
      <c r="B196" s="203" t="s">
        <v>1255</v>
      </c>
      <c r="C196" s="180">
        <f>C197</f>
        <v>3076920</v>
      </c>
      <c r="D196" s="180">
        <f>D197</f>
        <v>8791210</v>
      </c>
      <c r="E196" s="180">
        <f>E197</f>
        <v>0</v>
      </c>
    </row>
    <row r="197" spans="1:5" s="181" customFormat="1" ht="81">
      <c r="A197" s="178" t="s">
        <v>1254</v>
      </c>
      <c r="B197" s="251" t="s">
        <v>1250</v>
      </c>
      <c r="C197" s="180">
        <v>3076920</v>
      </c>
      <c r="D197" s="180">
        <v>8791210</v>
      </c>
      <c r="E197" s="180">
        <v>0</v>
      </c>
    </row>
    <row r="198" spans="1:5" s="181" customFormat="1" ht="60.75">
      <c r="A198" s="202" t="s">
        <v>850</v>
      </c>
      <c r="B198" s="203" t="s">
        <v>851</v>
      </c>
      <c r="C198" s="180">
        <f>C199</f>
        <v>1170021</v>
      </c>
      <c r="D198" s="180">
        <f>D199</f>
        <v>1170021</v>
      </c>
      <c r="E198" s="180">
        <f>E199</f>
        <v>1170021</v>
      </c>
    </row>
    <row r="199" spans="1:5" s="181" customFormat="1" ht="60.75">
      <c r="A199" s="202" t="s">
        <v>852</v>
      </c>
      <c r="B199" s="203" t="s">
        <v>853</v>
      </c>
      <c r="C199" s="180">
        <v>1170021</v>
      </c>
      <c r="D199" s="180">
        <v>1170021</v>
      </c>
      <c r="E199" s="180">
        <v>1170021</v>
      </c>
    </row>
    <row r="200" spans="1:5" s="181" customFormat="1" ht="40.5">
      <c r="A200" s="202" t="s">
        <v>854</v>
      </c>
      <c r="B200" s="203" t="s">
        <v>855</v>
      </c>
      <c r="C200" s="180">
        <f>C201</f>
        <v>2880000</v>
      </c>
      <c r="D200" s="180">
        <f>D201</f>
        <v>2768000</v>
      </c>
      <c r="E200" s="180">
        <f>E201</f>
        <v>1828900</v>
      </c>
    </row>
    <row r="201" spans="1:5" s="181" customFormat="1" ht="40.5">
      <c r="A201" s="202" t="s">
        <v>856</v>
      </c>
      <c r="B201" s="193" t="s">
        <v>857</v>
      </c>
      <c r="C201" s="180">
        <v>2880000</v>
      </c>
      <c r="D201" s="180">
        <v>2768000</v>
      </c>
      <c r="E201" s="180">
        <v>1828900</v>
      </c>
    </row>
    <row r="202" spans="1:5" s="181" customFormat="1" ht="20.25" hidden="1">
      <c r="A202" s="202" t="s">
        <v>858</v>
      </c>
      <c r="B202" s="203" t="s">
        <v>859</v>
      </c>
      <c r="C202" s="180">
        <f>C203</f>
        <v>0</v>
      </c>
      <c r="D202" s="180">
        <f>D203</f>
        <v>5123800</v>
      </c>
      <c r="E202" s="180">
        <f>E203</f>
        <v>0</v>
      </c>
    </row>
    <row r="203" spans="1:5" s="181" customFormat="1" ht="20.25" hidden="1">
      <c r="A203" s="202" t="s">
        <v>860</v>
      </c>
      <c r="B203" s="203" t="s">
        <v>861</v>
      </c>
      <c r="C203" s="180">
        <v>0</v>
      </c>
      <c r="D203" s="180">
        <v>5123800</v>
      </c>
      <c r="E203" s="180">
        <v>0</v>
      </c>
    </row>
    <row r="204" spans="1:8" s="181" customFormat="1" ht="60.75">
      <c r="A204" s="202" t="s">
        <v>862</v>
      </c>
      <c r="B204" s="203" t="s">
        <v>863</v>
      </c>
      <c r="C204" s="180">
        <f>C205</f>
        <v>179856190</v>
      </c>
      <c r="D204" s="180">
        <f>D205</f>
        <v>0</v>
      </c>
      <c r="E204" s="180">
        <f>E205</f>
        <v>0</v>
      </c>
      <c r="H204" s="148"/>
    </row>
    <row r="205" spans="1:5" s="181" customFormat="1" ht="60.75">
      <c r="A205" s="202" t="s">
        <v>864</v>
      </c>
      <c r="B205" s="203" t="s">
        <v>865</v>
      </c>
      <c r="C205" s="180">
        <v>179856190</v>
      </c>
      <c r="D205" s="180">
        <v>0</v>
      </c>
      <c r="E205" s="180">
        <v>0</v>
      </c>
    </row>
    <row r="206" spans="1:5" s="181" customFormat="1" ht="81" hidden="1">
      <c r="A206" s="202" t="s">
        <v>866</v>
      </c>
      <c r="B206" s="188" t="s">
        <v>867</v>
      </c>
      <c r="C206" s="180">
        <f>C207</f>
        <v>0</v>
      </c>
      <c r="D206" s="180">
        <f>D207</f>
        <v>0</v>
      </c>
      <c r="E206" s="180">
        <f>E207</f>
        <v>0</v>
      </c>
    </row>
    <row r="207" spans="1:5" s="181" customFormat="1" ht="81" hidden="1">
      <c r="A207" s="202" t="s">
        <v>868</v>
      </c>
      <c r="B207" s="188" t="s">
        <v>867</v>
      </c>
      <c r="C207" s="180"/>
      <c r="D207" s="180"/>
      <c r="E207" s="180"/>
    </row>
    <row r="208" spans="1:5" s="181" customFormat="1" ht="60.75" hidden="1">
      <c r="A208" s="202" t="s">
        <v>869</v>
      </c>
      <c r="B208" s="203" t="s">
        <v>870</v>
      </c>
      <c r="C208" s="180">
        <f>C209</f>
        <v>0</v>
      </c>
      <c r="D208" s="180">
        <f>D209</f>
        <v>0</v>
      </c>
      <c r="E208" s="180">
        <f>E209</f>
        <v>0</v>
      </c>
    </row>
    <row r="209" spans="1:5" s="181" customFormat="1" ht="60.75" hidden="1">
      <c r="A209" s="202" t="s">
        <v>871</v>
      </c>
      <c r="B209" s="203" t="s">
        <v>872</v>
      </c>
      <c r="C209" s="180">
        <f>11111566.8-11111566.8</f>
        <v>0</v>
      </c>
      <c r="D209" s="180">
        <f>11111566.8-11111566.8</f>
        <v>0</v>
      </c>
      <c r="E209" s="180">
        <f>11111566.8-11111566.8</f>
        <v>0</v>
      </c>
    </row>
    <row r="210" spans="1:5" s="181" customFormat="1" ht="81" hidden="1">
      <c r="A210" s="202" t="s">
        <v>873</v>
      </c>
      <c r="B210" s="203" t="s">
        <v>874</v>
      </c>
      <c r="C210" s="180">
        <f>C211</f>
        <v>0</v>
      </c>
      <c r="D210" s="180">
        <f>D211</f>
        <v>0</v>
      </c>
      <c r="E210" s="180">
        <f>E211</f>
        <v>0</v>
      </c>
    </row>
    <row r="211" spans="1:5" s="181" customFormat="1" ht="81" hidden="1">
      <c r="A211" s="202" t="s">
        <v>875</v>
      </c>
      <c r="B211" s="203" t="s">
        <v>876</v>
      </c>
      <c r="C211" s="180"/>
      <c r="D211" s="180"/>
      <c r="E211" s="180"/>
    </row>
    <row r="212" spans="1:5" s="181" customFormat="1" ht="40.5" hidden="1">
      <c r="A212" s="202" t="s">
        <v>877</v>
      </c>
      <c r="B212" s="203" t="s">
        <v>878</v>
      </c>
      <c r="C212" s="180">
        <f>C213</f>
        <v>0</v>
      </c>
      <c r="D212" s="180">
        <f>D213</f>
        <v>0</v>
      </c>
      <c r="E212" s="180">
        <f>E213</f>
        <v>0</v>
      </c>
    </row>
    <row r="213" spans="1:5" s="181" customFormat="1" ht="40.5" hidden="1">
      <c r="A213" s="202" t="s">
        <v>879</v>
      </c>
      <c r="B213" s="203" t="s">
        <v>880</v>
      </c>
      <c r="C213" s="180"/>
      <c r="D213" s="180"/>
      <c r="E213" s="180"/>
    </row>
    <row r="214" spans="1:5" s="181" customFormat="1" ht="81" hidden="1">
      <c r="A214" s="178" t="s">
        <v>1258</v>
      </c>
      <c r="B214" s="252" t="s">
        <v>1259</v>
      </c>
      <c r="C214" s="180">
        <f>C215</f>
        <v>0</v>
      </c>
      <c r="D214" s="180">
        <f>D215</f>
        <v>0</v>
      </c>
      <c r="E214" s="180">
        <f>E215</f>
        <v>120202000</v>
      </c>
    </row>
    <row r="215" spans="1:5" s="181" customFormat="1" ht="101.25" hidden="1">
      <c r="A215" s="178" t="s">
        <v>1257</v>
      </c>
      <c r="B215" s="188" t="s">
        <v>1252</v>
      </c>
      <c r="C215" s="180">
        <v>0</v>
      </c>
      <c r="D215" s="180">
        <v>0</v>
      </c>
      <c r="E215" s="180">
        <v>120202000</v>
      </c>
    </row>
    <row r="216" spans="1:5" s="181" customFormat="1" ht="60.75" hidden="1">
      <c r="A216" s="202" t="s">
        <v>881</v>
      </c>
      <c r="B216" s="207" t="s">
        <v>882</v>
      </c>
      <c r="C216" s="180">
        <f>C217</f>
        <v>0</v>
      </c>
      <c r="D216" s="180">
        <f>D217</f>
        <v>0</v>
      </c>
      <c r="E216" s="180">
        <f>E217</f>
        <v>0</v>
      </c>
    </row>
    <row r="217" spans="1:5" s="181" customFormat="1" ht="81" hidden="1">
      <c r="A217" s="208" t="s">
        <v>883</v>
      </c>
      <c r="B217" s="193" t="s">
        <v>884</v>
      </c>
      <c r="C217" s="180">
        <f>10141000-10141000</f>
        <v>0</v>
      </c>
      <c r="D217" s="180">
        <f>10141000-10141000</f>
        <v>0</v>
      </c>
      <c r="E217" s="180">
        <f>10141000-10141000</f>
        <v>0</v>
      </c>
    </row>
    <row r="218" spans="1:5" s="181" customFormat="1" ht="40.5">
      <c r="A218" s="202" t="s">
        <v>1324</v>
      </c>
      <c r="B218" s="207" t="s">
        <v>1251</v>
      </c>
      <c r="C218" s="180">
        <f>C219</f>
        <v>888749.54</v>
      </c>
      <c r="D218" s="180">
        <f>D219</f>
        <v>0</v>
      </c>
      <c r="E218" s="180">
        <f>E219</f>
        <v>0</v>
      </c>
    </row>
    <row r="219" spans="1:5" s="181" customFormat="1" ht="40.5">
      <c r="A219" s="208" t="s">
        <v>1325</v>
      </c>
      <c r="B219" s="199" t="s">
        <v>1251</v>
      </c>
      <c r="C219" s="180">
        <v>888749.54</v>
      </c>
      <c r="D219" s="180">
        <v>0</v>
      </c>
      <c r="E219" s="180">
        <v>0</v>
      </c>
    </row>
    <row r="220" spans="1:5" s="181" customFormat="1" ht="20.25">
      <c r="A220" s="178" t="s">
        <v>885</v>
      </c>
      <c r="B220" s="183" t="s">
        <v>886</v>
      </c>
      <c r="C220" s="180">
        <f>C221</f>
        <v>11472170</v>
      </c>
      <c r="D220" s="180">
        <f>D221</f>
        <v>9259100</v>
      </c>
      <c r="E220" s="180">
        <f>E221</f>
        <v>7591100</v>
      </c>
    </row>
    <row r="221" spans="1:5" s="181" customFormat="1" ht="20.25">
      <c r="A221" s="178" t="s">
        <v>887</v>
      </c>
      <c r="B221" s="183" t="s">
        <v>888</v>
      </c>
      <c r="C221" s="180">
        <f>1688000+271000+1250000+2594600+1131070+4419000+118500</f>
        <v>11472170</v>
      </c>
      <c r="D221" s="180">
        <f>788000+423000+1500000+1000000+4419000+1000000+129100</f>
        <v>9259100</v>
      </c>
      <c r="E221" s="180">
        <f>670000+423000+1450000+500000+4419000+129100</f>
        <v>7591100</v>
      </c>
    </row>
    <row r="222" spans="1:5" s="181" customFormat="1" ht="40.5">
      <c r="A222" s="202" t="s">
        <v>889</v>
      </c>
      <c r="B222" s="183" t="s">
        <v>890</v>
      </c>
      <c r="C222" s="180">
        <f>C223+C237+C225+C227+C229+C235+C231+C233+C239+C241</f>
        <v>722275000</v>
      </c>
      <c r="D222" s="180">
        <f>D223+D237+D225+D227+D229+D235+D231+D233+D239+D241</f>
        <v>645542000</v>
      </c>
      <c r="E222" s="180">
        <f>E223+E237+E225+E227+E229+E235+E231+E233+E239+E241</f>
        <v>709857000</v>
      </c>
    </row>
    <row r="223" spans="1:5" s="181" customFormat="1" ht="60.75" customHeight="1" hidden="1">
      <c r="A223" s="178" t="s">
        <v>891</v>
      </c>
      <c r="B223" s="183" t="s">
        <v>892</v>
      </c>
      <c r="C223" s="180"/>
      <c r="D223" s="180"/>
      <c r="E223" s="180"/>
    </row>
    <row r="224" spans="1:5" s="181" customFormat="1" ht="60.75" customHeight="1" hidden="1">
      <c r="A224" s="178" t="s">
        <v>893</v>
      </c>
      <c r="B224" s="183" t="s">
        <v>894</v>
      </c>
      <c r="C224" s="180"/>
      <c r="D224" s="180"/>
      <c r="E224" s="180"/>
    </row>
    <row r="225" spans="1:5" s="181" customFormat="1" ht="40.5" customHeight="1" hidden="1">
      <c r="A225" s="178" t="s">
        <v>895</v>
      </c>
      <c r="B225" s="183" t="s">
        <v>896</v>
      </c>
      <c r="C225" s="180">
        <f>C226</f>
        <v>0</v>
      </c>
      <c r="D225" s="180">
        <f>D226</f>
        <v>0</v>
      </c>
      <c r="E225" s="180">
        <f>E226</f>
        <v>0</v>
      </c>
    </row>
    <row r="226" spans="1:5" s="181" customFormat="1" ht="40.5" customHeight="1" hidden="1">
      <c r="A226" s="178" t="s">
        <v>897</v>
      </c>
      <c r="B226" s="183" t="s">
        <v>898</v>
      </c>
      <c r="C226" s="180"/>
      <c r="D226" s="180"/>
      <c r="E226" s="180"/>
    </row>
    <row r="227" spans="1:5" s="181" customFormat="1" ht="40.5" customHeight="1" hidden="1">
      <c r="A227" s="178" t="s">
        <v>899</v>
      </c>
      <c r="B227" s="183" t="s">
        <v>900</v>
      </c>
      <c r="C227" s="180">
        <f>C228</f>
        <v>0</v>
      </c>
      <c r="D227" s="180">
        <f>D228</f>
        <v>0</v>
      </c>
      <c r="E227" s="180">
        <f>E228</f>
        <v>0</v>
      </c>
    </row>
    <row r="228" spans="1:5" s="181" customFormat="1" ht="40.5" customHeight="1" hidden="1">
      <c r="A228" s="178" t="s">
        <v>901</v>
      </c>
      <c r="B228" s="183" t="s">
        <v>902</v>
      </c>
      <c r="C228" s="180"/>
      <c r="D228" s="180"/>
      <c r="E228" s="180"/>
    </row>
    <row r="229" spans="1:5" s="181" customFormat="1" ht="40.5">
      <c r="A229" s="178" t="s">
        <v>903</v>
      </c>
      <c r="B229" s="179" t="s">
        <v>904</v>
      </c>
      <c r="C229" s="204">
        <f>C230</f>
        <v>658400000</v>
      </c>
      <c r="D229" s="204">
        <f>D230</f>
        <v>582686000</v>
      </c>
      <c r="E229" s="204">
        <f>E230</f>
        <v>646157000</v>
      </c>
    </row>
    <row r="230" spans="1:5" s="181" customFormat="1" ht="41.25" customHeight="1">
      <c r="A230" s="202" t="s">
        <v>905</v>
      </c>
      <c r="B230" s="203" t="s">
        <v>906</v>
      </c>
      <c r="C230" s="204">
        <f>542000+346858000+76064000+75998000+6779000+457000+542000+812000+15000+2339000+22078000+101267000+61000+24588000</f>
        <v>658400000</v>
      </c>
      <c r="D230" s="204">
        <f>564000+405952000+88958000+75998000+6949000+475000+563000+812000+15000+2339000+61000</f>
        <v>582686000</v>
      </c>
      <c r="E230" s="204">
        <f>586000+456579000+101556000+75998000+7131000+494000+586000+812000+15000+2339000+61000</f>
        <v>646157000</v>
      </c>
    </row>
    <row r="231" spans="1:5" s="181" customFormat="1" ht="40.5">
      <c r="A231" s="202" t="s">
        <v>907</v>
      </c>
      <c r="B231" s="203" t="s">
        <v>908</v>
      </c>
      <c r="C231" s="204">
        <f>C232</f>
        <v>47381000</v>
      </c>
      <c r="D231" s="204">
        <f>D232</f>
        <v>49276000</v>
      </c>
      <c r="E231" s="204">
        <f>E232</f>
        <v>51248000</v>
      </c>
    </row>
    <row r="232" spans="1:5" s="181" customFormat="1" ht="79.5" customHeight="1">
      <c r="A232" s="202" t="s">
        <v>909</v>
      </c>
      <c r="B232" s="203" t="s">
        <v>910</v>
      </c>
      <c r="C232" s="204">
        <v>47381000</v>
      </c>
      <c r="D232" s="204">
        <v>49276000</v>
      </c>
      <c r="E232" s="204">
        <v>51248000</v>
      </c>
    </row>
    <row r="233" spans="1:5" s="181" customFormat="1" ht="81">
      <c r="A233" s="202" t="s">
        <v>911</v>
      </c>
      <c r="B233" s="203" t="s">
        <v>912</v>
      </c>
      <c r="C233" s="204">
        <f>C234</f>
        <v>3939000</v>
      </c>
      <c r="D233" s="204">
        <f>D234</f>
        <v>3939000</v>
      </c>
      <c r="E233" s="204">
        <f>E234</f>
        <v>3939000</v>
      </c>
    </row>
    <row r="234" spans="1:5" s="181" customFormat="1" ht="81">
      <c r="A234" s="202" t="s">
        <v>913</v>
      </c>
      <c r="B234" s="203" t="s">
        <v>914</v>
      </c>
      <c r="C234" s="204">
        <v>3939000</v>
      </c>
      <c r="D234" s="204">
        <v>3939000</v>
      </c>
      <c r="E234" s="204">
        <v>3939000</v>
      </c>
    </row>
    <row r="235" spans="1:5" s="181" customFormat="1" ht="83.25" customHeight="1">
      <c r="A235" s="202" t="s">
        <v>915</v>
      </c>
      <c r="B235" s="203" t="s">
        <v>916</v>
      </c>
      <c r="C235" s="204">
        <f>C236</f>
        <v>11066000</v>
      </c>
      <c r="D235" s="204">
        <f>D236</f>
        <v>8767000</v>
      </c>
      <c r="E235" s="204">
        <f>E236</f>
        <v>7639000</v>
      </c>
    </row>
    <row r="236" spans="1:5" s="181" customFormat="1" ht="81">
      <c r="A236" s="202" t="s">
        <v>917</v>
      </c>
      <c r="B236" s="203" t="s">
        <v>918</v>
      </c>
      <c r="C236" s="204">
        <f>6043000+5023000</f>
        <v>11066000</v>
      </c>
      <c r="D236" s="204">
        <f>4530000+4237000</f>
        <v>8767000</v>
      </c>
      <c r="E236" s="204">
        <f>3973000+3666000</f>
        <v>7639000</v>
      </c>
    </row>
    <row r="237" spans="1:5" s="181" customFormat="1" ht="40.5" hidden="1">
      <c r="A237" s="202" t="s">
        <v>919</v>
      </c>
      <c r="B237" s="203" t="s">
        <v>920</v>
      </c>
      <c r="C237" s="204">
        <f>C238</f>
        <v>0</v>
      </c>
      <c r="D237" s="204">
        <f>D238</f>
        <v>0</v>
      </c>
      <c r="E237" s="204">
        <f>E238</f>
        <v>0</v>
      </c>
    </row>
    <row r="238" spans="1:5" s="181" customFormat="1" ht="40.5" hidden="1">
      <c r="A238" s="202" t="s">
        <v>921</v>
      </c>
      <c r="B238" s="203" t="s">
        <v>922</v>
      </c>
      <c r="C238" s="204">
        <v>0</v>
      </c>
      <c r="D238" s="204">
        <v>0</v>
      </c>
      <c r="E238" s="204">
        <v>0</v>
      </c>
    </row>
    <row r="239" spans="1:5" s="181" customFormat="1" ht="40.5">
      <c r="A239" s="178" t="s">
        <v>923</v>
      </c>
      <c r="B239" s="188" t="s">
        <v>924</v>
      </c>
      <c r="C239" s="180">
        <f>C240</f>
        <v>874000</v>
      </c>
      <c r="D239" s="180">
        <f>D240</f>
        <v>874000</v>
      </c>
      <c r="E239" s="180">
        <f>E240</f>
        <v>874000</v>
      </c>
    </row>
    <row r="240" spans="1:5" s="181" customFormat="1" ht="40.5">
      <c r="A240" s="178" t="s">
        <v>925</v>
      </c>
      <c r="B240" s="188" t="s">
        <v>926</v>
      </c>
      <c r="C240" s="180">
        <v>874000</v>
      </c>
      <c r="D240" s="180">
        <v>874000</v>
      </c>
      <c r="E240" s="180">
        <v>874000</v>
      </c>
    </row>
    <row r="241" spans="1:5" s="181" customFormat="1" ht="40.5">
      <c r="A241" s="178" t="s">
        <v>1261</v>
      </c>
      <c r="B241" s="188" t="s">
        <v>1262</v>
      </c>
      <c r="C241" s="180">
        <f>C242</f>
        <v>615000</v>
      </c>
      <c r="D241" s="180">
        <f>D242</f>
        <v>0</v>
      </c>
      <c r="E241" s="180">
        <f>E242</f>
        <v>0</v>
      </c>
    </row>
    <row r="242" spans="1:5" s="181" customFormat="1" ht="40.5">
      <c r="A242" s="178" t="s">
        <v>1260</v>
      </c>
      <c r="B242" s="193" t="s">
        <v>1253</v>
      </c>
      <c r="C242" s="180">
        <v>615000</v>
      </c>
      <c r="D242" s="180">
        <v>0</v>
      </c>
      <c r="E242" s="180">
        <v>0</v>
      </c>
    </row>
    <row r="243" spans="1:5" s="181" customFormat="1" ht="20.25">
      <c r="A243" s="202" t="s">
        <v>927</v>
      </c>
      <c r="B243" s="183" t="s">
        <v>928</v>
      </c>
      <c r="C243" s="204">
        <f>C246+C244+C248+C250+C252+C254</f>
        <v>2931300.1</v>
      </c>
      <c r="D243" s="204">
        <f>D246+D244+D248+D250+D252+D254</f>
        <v>0</v>
      </c>
      <c r="E243" s="204">
        <f>E246+E244+E248+E250+E252+E254</f>
        <v>0</v>
      </c>
    </row>
    <row r="244" spans="1:5" s="181" customFormat="1" ht="60.75">
      <c r="A244" s="202" t="s">
        <v>929</v>
      </c>
      <c r="B244" s="203" t="s">
        <v>930</v>
      </c>
      <c r="C244" s="204">
        <f>C245</f>
        <v>2931300.1</v>
      </c>
      <c r="D244" s="204">
        <f>D245</f>
        <v>0</v>
      </c>
      <c r="E244" s="204">
        <f>E245</f>
        <v>0</v>
      </c>
    </row>
    <row r="245" spans="1:5" s="181" customFormat="1" ht="81">
      <c r="A245" s="202" t="s">
        <v>931</v>
      </c>
      <c r="B245" s="203" t="s">
        <v>932</v>
      </c>
      <c r="C245" s="204">
        <v>2931300.1</v>
      </c>
      <c r="D245" s="204">
        <v>0</v>
      </c>
      <c r="E245" s="204">
        <v>0</v>
      </c>
    </row>
    <row r="246" spans="1:5" s="181" customFormat="1" ht="60.75" hidden="1">
      <c r="A246" s="202" t="s">
        <v>933</v>
      </c>
      <c r="B246" s="203" t="s">
        <v>934</v>
      </c>
      <c r="C246" s="204">
        <f>C247</f>
        <v>0</v>
      </c>
      <c r="D246" s="204">
        <f>D247</f>
        <v>0</v>
      </c>
      <c r="E246" s="204">
        <f>E247</f>
        <v>0</v>
      </c>
    </row>
    <row r="247" spans="1:5" s="181" customFormat="1" ht="60.75" hidden="1">
      <c r="A247" s="202" t="s">
        <v>935</v>
      </c>
      <c r="B247" s="203" t="s">
        <v>936</v>
      </c>
      <c r="C247" s="204"/>
      <c r="D247" s="204"/>
      <c r="E247" s="204"/>
    </row>
    <row r="248" spans="1:5" s="189" customFormat="1" ht="60.75" hidden="1">
      <c r="A248" s="202" t="s">
        <v>937</v>
      </c>
      <c r="B248" s="209" t="s">
        <v>938</v>
      </c>
      <c r="C248" s="204">
        <f>C249</f>
        <v>0</v>
      </c>
      <c r="D248" s="204">
        <f>D249</f>
        <v>0</v>
      </c>
      <c r="E248" s="204">
        <f>E249</f>
        <v>0</v>
      </c>
    </row>
    <row r="249" spans="1:5" s="189" customFormat="1" ht="60.75" hidden="1">
      <c r="A249" s="202" t="s">
        <v>939</v>
      </c>
      <c r="B249" s="209" t="s">
        <v>940</v>
      </c>
      <c r="C249" s="204"/>
      <c r="D249" s="204"/>
      <c r="E249" s="204"/>
    </row>
    <row r="250" spans="1:5" s="189" customFormat="1" ht="60.75" hidden="1">
      <c r="A250" s="202" t="s">
        <v>941</v>
      </c>
      <c r="B250" s="203" t="s">
        <v>942</v>
      </c>
      <c r="C250" s="204">
        <f>C251</f>
        <v>0</v>
      </c>
      <c r="D250" s="204">
        <f>D251</f>
        <v>0</v>
      </c>
      <c r="E250" s="204">
        <f>E251</f>
        <v>0</v>
      </c>
    </row>
    <row r="251" spans="1:5" s="189" customFormat="1" ht="60.75" hidden="1">
      <c r="A251" s="202" t="s">
        <v>943</v>
      </c>
      <c r="B251" s="203" t="s">
        <v>944</v>
      </c>
      <c r="C251" s="204"/>
      <c r="D251" s="204"/>
      <c r="E251" s="204"/>
    </row>
    <row r="252" spans="1:5" s="181" customFormat="1" ht="60.75" hidden="1">
      <c r="A252" s="202" t="s">
        <v>945</v>
      </c>
      <c r="B252" s="203" t="s">
        <v>946</v>
      </c>
      <c r="C252" s="204">
        <f>C253</f>
        <v>0</v>
      </c>
      <c r="D252" s="204">
        <f>D253</f>
        <v>0</v>
      </c>
      <c r="E252" s="204">
        <f>E253</f>
        <v>0</v>
      </c>
    </row>
    <row r="253" spans="1:5" s="181" customFormat="1" ht="60.75" hidden="1">
      <c r="A253" s="202" t="s">
        <v>947</v>
      </c>
      <c r="B253" s="203" t="s">
        <v>948</v>
      </c>
      <c r="C253" s="204"/>
      <c r="D253" s="204"/>
      <c r="E253" s="204"/>
    </row>
    <row r="254" spans="1:5" s="181" customFormat="1" ht="20.25" hidden="1">
      <c r="A254" s="202" t="s">
        <v>949</v>
      </c>
      <c r="B254" s="203" t="s">
        <v>950</v>
      </c>
      <c r="C254" s="204">
        <f>C255</f>
        <v>0</v>
      </c>
      <c r="D254" s="204">
        <f>D255</f>
        <v>0</v>
      </c>
      <c r="E254" s="204">
        <f>E255</f>
        <v>0</v>
      </c>
    </row>
    <row r="255" spans="1:5" s="181" customFormat="1" ht="40.5" hidden="1">
      <c r="A255" s="202" t="s">
        <v>951</v>
      </c>
      <c r="B255" s="203" t="s">
        <v>952</v>
      </c>
      <c r="C255" s="204"/>
      <c r="D255" s="204"/>
      <c r="E255" s="204"/>
    </row>
    <row r="256" spans="1:5" s="181" customFormat="1" ht="20.25" hidden="1">
      <c r="A256" s="182" t="s">
        <v>953</v>
      </c>
      <c r="B256" s="183" t="s">
        <v>954</v>
      </c>
      <c r="C256" s="180">
        <f aca="true" t="shared" si="3" ref="C256:E257">C257</f>
        <v>0</v>
      </c>
      <c r="D256" s="180">
        <f t="shared" si="3"/>
        <v>0</v>
      </c>
      <c r="E256" s="180">
        <f t="shared" si="3"/>
        <v>0</v>
      </c>
    </row>
    <row r="257" spans="1:5" s="181" customFormat="1" ht="20.25" hidden="1">
      <c r="A257" s="182" t="s">
        <v>955</v>
      </c>
      <c r="B257" s="183" t="s">
        <v>956</v>
      </c>
      <c r="C257" s="180">
        <f t="shared" si="3"/>
        <v>0</v>
      </c>
      <c r="D257" s="180">
        <f t="shared" si="3"/>
        <v>0</v>
      </c>
      <c r="E257" s="180">
        <f t="shared" si="3"/>
        <v>0</v>
      </c>
    </row>
    <row r="258" spans="1:5" s="181" customFormat="1" ht="20.25" hidden="1">
      <c r="A258" s="182" t="s">
        <v>957</v>
      </c>
      <c r="B258" s="183" t="s">
        <v>956</v>
      </c>
      <c r="C258" s="180"/>
      <c r="D258" s="180"/>
      <c r="E258" s="180"/>
    </row>
    <row r="259" spans="1:5" s="177" customFormat="1" ht="20.25">
      <c r="A259" s="210" t="s">
        <v>958</v>
      </c>
      <c r="B259" s="211" t="s">
        <v>959</v>
      </c>
      <c r="C259" s="212">
        <f>C16+C168</f>
        <v>1411963182.6399999</v>
      </c>
      <c r="D259" s="212" t="e">
        <f>D16+D168</f>
        <v>#REF!</v>
      </c>
      <c r="E259" s="212" t="e">
        <f>E16+E168</f>
        <v>#REF!</v>
      </c>
    </row>
    <row r="260" spans="1:5" s="181" customFormat="1" ht="12.75" customHeight="1" hidden="1">
      <c r="A260" s="232"/>
      <c r="B260" s="213" t="s">
        <v>960</v>
      </c>
      <c r="C260" s="214"/>
      <c r="D260" s="214"/>
      <c r="E260" s="214"/>
    </row>
    <row r="261" spans="1:5" s="181" customFormat="1" ht="20.25" customHeight="1" hidden="1">
      <c r="A261" s="232"/>
      <c r="B261" s="213" t="s">
        <v>961</v>
      </c>
      <c r="C261" s="214"/>
      <c r="D261" s="214"/>
      <c r="E261" s="214"/>
    </row>
    <row r="262" spans="1:5" s="181" customFormat="1" ht="20.25" customHeight="1" hidden="1">
      <c r="A262" s="232"/>
      <c r="B262" s="213" t="s">
        <v>962</v>
      </c>
      <c r="C262" s="214"/>
      <c r="D262" s="214"/>
      <c r="E262" s="214"/>
    </row>
    <row r="263" spans="1:5" s="181" customFormat="1" ht="20.25" customHeight="1" hidden="1">
      <c r="A263" s="232"/>
      <c r="B263" s="213" t="s">
        <v>963</v>
      </c>
      <c r="C263" s="214"/>
      <c r="D263" s="214"/>
      <c r="E263" s="214"/>
    </row>
    <row r="264" spans="1:5" s="181" customFormat="1" ht="20.25" customHeight="1" hidden="1">
      <c r="A264" s="232"/>
      <c r="B264" s="213" t="s">
        <v>964</v>
      </c>
      <c r="C264" s="214"/>
      <c r="D264" s="214"/>
      <c r="E264" s="214"/>
    </row>
    <row r="265" spans="1:5" s="181" customFormat="1" ht="20.25" customHeight="1" hidden="1">
      <c r="A265" s="232"/>
      <c r="B265" s="213" t="s">
        <v>965</v>
      </c>
      <c r="C265" s="214"/>
      <c r="D265" s="214"/>
      <c r="E265" s="214"/>
    </row>
    <row r="266" spans="1:5" s="181" customFormat="1" ht="20.25" customHeight="1" hidden="1">
      <c r="A266" s="232"/>
      <c r="B266" s="213"/>
      <c r="C266" s="214"/>
      <c r="D266" s="214"/>
      <c r="E266" s="214"/>
    </row>
    <row r="267" spans="1:5" s="181" customFormat="1" ht="20.25" customHeight="1" hidden="1">
      <c r="A267" s="232"/>
      <c r="B267" s="213" t="s">
        <v>966</v>
      </c>
      <c r="C267" s="214"/>
      <c r="D267" s="214"/>
      <c r="E267" s="214"/>
    </row>
    <row r="268" spans="1:5" s="181" customFormat="1" ht="20.25" customHeight="1" hidden="1">
      <c r="A268" s="232"/>
      <c r="B268" s="215" t="s">
        <v>967</v>
      </c>
      <c r="C268" s="214"/>
      <c r="D268" s="214"/>
      <c r="E268" s="214"/>
    </row>
    <row r="269" spans="1:5" s="181" customFormat="1" ht="20.25" customHeight="1" hidden="1">
      <c r="A269" s="232"/>
      <c r="B269" s="213"/>
      <c r="C269" s="214"/>
      <c r="D269" s="214"/>
      <c r="E269" s="214"/>
    </row>
    <row r="270" spans="1:5" s="181" customFormat="1" ht="20.25" customHeight="1" hidden="1">
      <c r="A270" s="232"/>
      <c r="B270" s="213"/>
      <c r="C270" s="214"/>
      <c r="D270" s="214"/>
      <c r="E270" s="214"/>
    </row>
    <row r="271" spans="1:5" s="181" customFormat="1" ht="20.25" customHeight="1" hidden="1">
      <c r="A271" s="232"/>
      <c r="B271" s="213"/>
      <c r="C271" s="214"/>
      <c r="D271" s="214"/>
      <c r="E271" s="214"/>
    </row>
    <row r="272" spans="1:5" s="181" customFormat="1" ht="20.25" customHeight="1" hidden="1">
      <c r="A272" s="232"/>
      <c r="B272" s="213"/>
      <c r="C272" s="216"/>
      <c r="D272" s="216"/>
      <c r="E272" s="216"/>
    </row>
    <row r="273" spans="1:5" s="181" customFormat="1" ht="20.25" customHeight="1" hidden="1">
      <c r="A273" s="232"/>
      <c r="B273" s="213"/>
      <c r="C273" s="216"/>
      <c r="D273" s="216"/>
      <c r="E273" s="216"/>
    </row>
    <row r="274" spans="1:5" s="181" customFormat="1" ht="20.25" customHeight="1" hidden="1">
      <c r="A274" s="232"/>
      <c r="B274" s="213"/>
      <c r="C274" s="216"/>
      <c r="D274" s="216"/>
      <c r="E274" s="216"/>
    </row>
    <row r="275" spans="1:5" s="181" customFormat="1" ht="20.25" customHeight="1" hidden="1">
      <c r="A275" s="232"/>
      <c r="B275" s="213"/>
      <c r="C275" s="216"/>
      <c r="D275" s="216"/>
      <c r="E275" s="216"/>
    </row>
    <row r="276" spans="1:5" s="181" customFormat="1" ht="20.25">
      <c r="A276" s="232"/>
      <c r="B276" s="213"/>
      <c r="C276" s="216"/>
      <c r="D276" s="216"/>
      <c r="E276" s="216"/>
    </row>
    <row r="277" spans="3:5" ht="18.75" customHeight="1" hidden="1">
      <c r="C277" s="216">
        <v>203607600</v>
      </c>
      <c r="D277" s="216">
        <v>203607600</v>
      </c>
      <c r="E277" s="216">
        <v>203607600</v>
      </c>
    </row>
    <row r="278" spans="3:5" ht="18.75" customHeight="1" hidden="1">
      <c r="C278" s="216">
        <f>C60+C84</f>
        <v>76197452</v>
      </c>
      <c r="D278" s="216">
        <f>D60+D84</f>
        <v>74985380</v>
      </c>
      <c r="E278" s="216">
        <f>E60+E84</f>
        <v>74985380</v>
      </c>
    </row>
    <row r="279" spans="3:5" ht="18.75" customHeight="1" hidden="1">
      <c r="C279" s="216">
        <f>C259-C278</f>
        <v>1335765730.6399999</v>
      </c>
      <c r="D279" s="216" t="e">
        <f>D259-D278</f>
        <v>#REF!</v>
      </c>
      <c r="E279" s="216" t="e">
        <f>E259-E278</f>
        <v>#REF!</v>
      </c>
    </row>
    <row r="280" ht="18.75" customHeight="1" hidden="1"/>
    <row r="281" spans="3:5" ht="18.75" customHeight="1" hidden="1">
      <c r="C281" s="216">
        <f>C277+C278</f>
        <v>279805052</v>
      </c>
      <c r="D281" s="216">
        <f>D277+D278</f>
        <v>278592980</v>
      </c>
      <c r="E281" s="216">
        <f>E277+E278</f>
        <v>278592980</v>
      </c>
    </row>
    <row r="282" spans="3:5" ht="18.75" customHeight="1" hidden="1">
      <c r="C282" s="216">
        <f>C259-C22</f>
        <v>1390317382.6399999</v>
      </c>
      <c r="D282" s="216" t="e">
        <f>D259-D22</f>
        <v>#REF!</v>
      </c>
      <c r="E282" s="216" t="e">
        <f>E259-E22</f>
        <v>#REF!</v>
      </c>
    </row>
    <row r="283" ht="18.75" customHeight="1" hidden="1"/>
    <row r="284" spans="3:5" ht="18.75" customHeight="1" hidden="1">
      <c r="C284" s="216">
        <f>C16+C171</f>
        <v>435659952</v>
      </c>
      <c r="D284" s="216" t="e">
        <f>D16+D171</f>
        <v>#REF!</v>
      </c>
      <c r="E284" s="216" t="e">
        <f>E16+E171</f>
        <v>#REF!</v>
      </c>
    </row>
    <row r="285" ht="18.75" customHeight="1" hidden="1"/>
    <row r="286" ht="18.75" customHeight="1" hidden="1"/>
    <row r="287" ht="18.75" customHeight="1" hidden="1"/>
    <row r="288" ht="18.75" customHeight="1" hidden="1"/>
    <row r="289" ht="18.75" customHeight="1" hidden="1"/>
    <row r="290" spans="2:5" ht="18.75" customHeight="1" hidden="1">
      <c r="B290" s="63" t="s">
        <v>968</v>
      </c>
      <c r="C290" s="216">
        <v>308000</v>
      </c>
      <c r="D290" s="216">
        <v>308000</v>
      </c>
      <c r="E290" s="216">
        <v>308000</v>
      </c>
    </row>
    <row r="291" spans="2:5" ht="18.75" customHeight="1" hidden="1">
      <c r="B291" s="217" t="s">
        <v>969</v>
      </c>
      <c r="C291" s="216">
        <v>338635000</v>
      </c>
      <c r="D291" s="216">
        <v>338635000</v>
      </c>
      <c r="E291" s="216">
        <v>338635000</v>
      </c>
    </row>
    <row r="292" spans="2:5" ht="18.75" customHeight="1" hidden="1">
      <c r="B292" s="217" t="s">
        <v>970</v>
      </c>
      <c r="C292" s="216">
        <v>85935000</v>
      </c>
      <c r="D292" s="216">
        <v>85935000</v>
      </c>
      <c r="E292" s="216">
        <v>85935000</v>
      </c>
    </row>
    <row r="293" spans="2:5" ht="18.75" customHeight="1" hidden="1">
      <c r="B293" s="217" t="s">
        <v>971</v>
      </c>
      <c r="C293" s="216">
        <v>36750000</v>
      </c>
      <c r="D293" s="216">
        <v>36750000</v>
      </c>
      <c r="E293" s="216">
        <v>36750000</v>
      </c>
    </row>
    <row r="294" spans="2:5" ht="18.75" customHeight="1" hidden="1">
      <c r="B294" s="217" t="s">
        <v>972</v>
      </c>
      <c r="C294" s="216">
        <v>4027000</v>
      </c>
      <c r="D294" s="216">
        <v>4027000</v>
      </c>
      <c r="E294" s="216">
        <v>4027000</v>
      </c>
    </row>
    <row r="295" spans="2:5" ht="18.75" customHeight="1" hidden="1">
      <c r="B295" s="217" t="s">
        <v>973</v>
      </c>
      <c r="C295" s="216">
        <v>307000</v>
      </c>
      <c r="D295" s="216">
        <v>307000</v>
      </c>
      <c r="E295" s="216">
        <v>307000</v>
      </c>
    </row>
    <row r="296" spans="2:5" ht="18.75" customHeight="1" hidden="1">
      <c r="B296" s="217" t="s">
        <v>974</v>
      </c>
      <c r="C296" s="216">
        <v>361000</v>
      </c>
      <c r="D296" s="216">
        <v>361000</v>
      </c>
      <c r="E296" s="216">
        <v>361000</v>
      </c>
    </row>
    <row r="297" spans="2:5" ht="18.75" customHeight="1" hidden="1">
      <c r="B297" s="217" t="s">
        <v>975</v>
      </c>
      <c r="C297" s="216">
        <v>420000</v>
      </c>
      <c r="D297" s="216">
        <v>420000</v>
      </c>
      <c r="E297" s="216">
        <v>420000</v>
      </c>
    </row>
    <row r="298" spans="2:5" ht="18.75" customHeight="1" hidden="1">
      <c r="B298" s="217" t="s">
        <v>976</v>
      </c>
      <c r="C298" s="216">
        <v>62000</v>
      </c>
      <c r="D298" s="216">
        <v>62000</v>
      </c>
      <c r="E298" s="216">
        <v>62000</v>
      </c>
    </row>
    <row r="299" ht="18.75" customHeight="1" hidden="1"/>
    <row r="300" spans="3:5" ht="20.25" hidden="1">
      <c r="C300" s="216">
        <f>SUM(C290:C299)</f>
        <v>466805000</v>
      </c>
      <c r="D300" s="216">
        <f>SUM(D290:D299)</f>
        <v>466805000</v>
      </c>
      <c r="E300" s="216">
        <f>SUM(E290:E299)</f>
        <v>466805000</v>
      </c>
    </row>
    <row r="301" spans="3:5" ht="20.25">
      <c r="C301" s="249"/>
      <c r="D301" s="249"/>
      <c r="E301" s="249"/>
    </row>
  </sheetData>
  <sheetProtection/>
  <mergeCells count="3">
    <mergeCell ref="A10:E10"/>
    <mergeCell ref="A11:E11"/>
    <mergeCell ref="A12:E1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87"/>
  <sheetViews>
    <sheetView zoomScale="80" zoomScaleNormal="80" zoomScaleSheetLayoutView="80" zoomScalePageLayoutView="0" workbookViewId="0" topLeftCell="A1">
      <selection activeCell="B10" sqref="B10"/>
    </sheetView>
  </sheetViews>
  <sheetFormatPr defaultColWidth="9.00390625" defaultRowHeight="12.75"/>
  <cols>
    <col min="1" max="1" width="79.25390625" style="81" customWidth="1"/>
    <col min="2" max="2" width="11.125" style="111" customWidth="1"/>
    <col min="3" max="3" width="9.25390625" style="84" customWidth="1"/>
    <col min="4" max="4" width="10.125" style="84" customWidth="1"/>
    <col min="5" max="5" width="22.00390625" style="91" customWidth="1"/>
    <col min="6" max="6" width="11.625" style="84" customWidth="1"/>
    <col min="7" max="7" width="19.375" style="94" bestFit="1" customWidth="1"/>
    <col min="8" max="9" width="19.375" style="94" hidden="1" customWidth="1"/>
    <col min="10" max="10" width="5.125" style="85" bestFit="1" customWidth="1"/>
    <col min="11" max="11" width="8.25390625" style="85" hidden="1" customWidth="1"/>
    <col min="12" max="12" width="16.875" style="85" hidden="1" customWidth="1"/>
    <col min="13" max="13" width="17.25390625" style="85" hidden="1" customWidth="1"/>
    <col min="14" max="14" width="18.375" style="85" customWidth="1"/>
    <col min="15" max="16" width="0" style="85" hidden="1" customWidth="1"/>
    <col min="17" max="17" width="4.375" style="85" hidden="1" customWidth="1"/>
    <col min="18" max="18" width="14.875" style="85" hidden="1" customWidth="1"/>
    <col min="19" max="19" width="0" style="85" hidden="1" customWidth="1"/>
    <col min="20" max="20" width="7.125" style="85" customWidth="1"/>
    <col min="21" max="16384" width="9.125" style="85" customWidth="1"/>
  </cols>
  <sheetData>
    <row r="1" spans="1:9" ht="16.5">
      <c r="A1" s="141"/>
      <c r="B1" s="36" t="s">
        <v>1314</v>
      </c>
      <c r="C1" s="142"/>
      <c r="D1" s="142"/>
      <c r="E1" s="36"/>
      <c r="F1" s="142"/>
      <c r="G1" s="142"/>
      <c r="H1" s="142"/>
      <c r="I1" s="142"/>
    </row>
    <row r="2" spans="2:5" s="2" customFormat="1" ht="19.5" customHeight="1">
      <c r="B2" s="6" t="s">
        <v>1328</v>
      </c>
      <c r="C2" s="39"/>
      <c r="D2" s="39"/>
      <c r="E2" s="151"/>
    </row>
    <row r="3" spans="2:5" s="2" customFormat="1" ht="19.5" customHeight="1">
      <c r="B3" s="6" t="s">
        <v>109</v>
      </c>
      <c r="C3" s="39"/>
      <c r="D3" s="39"/>
      <c r="E3" s="151"/>
    </row>
    <row r="4" spans="2:5" s="2" customFormat="1" ht="19.5" customHeight="1">
      <c r="B4" s="6" t="s">
        <v>1315</v>
      </c>
      <c r="C4" s="39"/>
      <c r="D4" s="39"/>
      <c r="E4" s="151"/>
    </row>
    <row r="5" spans="1:5" s="2" customFormat="1" ht="19.5" customHeight="1">
      <c r="A5" s="63"/>
      <c r="B5" s="6" t="s">
        <v>520</v>
      </c>
      <c r="C5" s="39"/>
      <c r="D5" s="39"/>
      <c r="E5" s="151"/>
    </row>
    <row r="6" spans="1:5" s="2" customFormat="1" ht="19.5" customHeight="1">
      <c r="A6" s="63"/>
      <c r="B6" s="6" t="s">
        <v>1318</v>
      </c>
      <c r="C6" s="39"/>
      <c r="D6" s="39"/>
      <c r="E6" s="151"/>
    </row>
    <row r="7" spans="1:5" s="2" customFormat="1" ht="19.5" customHeight="1">
      <c r="A7" s="63"/>
      <c r="B7" s="6" t="s">
        <v>1316</v>
      </c>
      <c r="C7" s="39"/>
      <c r="D7" s="39"/>
      <c r="E7" s="151"/>
    </row>
    <row r="8" spans="1:5" s="2" customFormat="1" ht="19.5" customHeight="1">
      <c r="A8" s="63"/>
      <c r="B8" s="6" t="s">
        <v>1320</v>
      </c>
      <c r="C8" s="39"/>
      <c r="D8" s="39"/>
      <c r="E8" s="151"/>
    </row>
    <row r="9" spans="2:5" s="2" customFormat="1" ht="19.5" customHeight="1">
      <c r="B9" s="6" t="s">
        <v>1317</v>
      </c>
      <c r="C9" s="6"/>
      <c r="D9" s="6"/>
      <c r="E9" s="36"/>
    </row>
    <row r="10" spans="1:5" s="2" customFormat="1" ht="18.75">
      <c r="A10" s="63"/>
      <c r="B10" s="82" t="s">
        <v>1347</v>
      </c>
      <c r="C10" s="39"/>
      <c r="D10" s="39"/>
      <c r="E10" s="151"/>
    </row>
    <row r="11" spans="1:5" s="2" customFormat="1" ht="18.75">
      <c r="A11" s="63"/>
      <c r="B11" s="82"/>
      <c r="C11" s="39"/>
      <c r="D11" s="39"/>
      <c r="E11" s="151"/>
    </row>
    <row r="12" spans="2:9" ht="18.75">
      <c r="B12" s="86"/>
      <c r="C12" s="83"/>
      <c r="D12" s="83"/>
      <c r="E12" s="83"/>
      <c r="F12" s="83"/>
      <c r="G12" s="83"/>
      <c r="H12" s="83"/>
      <c r="I12" s="83"/>
    </row>
    <row r="13" spans="1:9" ht="18.75">
      <c r="A13" s="261" t="s">
        <v>43</v>
      </c>
      <c r="B13" s="261"/>
      <c r="C13" s="261"/>
      <c r="D13" s="261"/>
      <c r="E13" s="261"/>
      <c r="F13" s="261"/>
      <c r="G13" s="261"/>
      <c r="H13" s="261"/>
      <c r="I13" s="261"/>
    </row>
    <row r="14" spans="1:9" ht="18.75">
      <c r="A14" s="262" t="s">
        <v>32</v>
      </c>
      <c r="B14" s="262"/>
      <c r="C14" s="262"/>
      <c r="D14" s="262"/>
      <c r="E14" s="262"/>
      <c r="F14" s="262"/>
      <c r="G14" s="262"/>
      <c r="H14" s="262"/>
      <c r="I14" s="262"/>
    </row>
    <row r="15" spans="1:9" ht="18.75">
      <c r="A15" s="262" t="s">
        <v>987</v>
      </c>
      <c r="B15" s="262"/>
      <c r="C15" s="262"/>
      <c r="D15" s="262"/>
      <c r="E15" s="262"/>
      <c r="F15" s="262"/>
      <c r="G15" s="262"/>
      <c r="H15" s="262"/>
      <c r="I15" s="262"/>
    </row>
    <row r="16" spans="2:10" ht="19.5">
      <c r="B16" s="88"/>
      <c r="C16" s="89" t="s">
        <v>22</v>
      </c>
      <c r="D16" s="90"/>
      <c r="F16" s="90"/>
      <c r="G16" s="92"/>
      <c r="H16" s="93"/>
      <c r="I16" s="92" t="s">
        <v>474</v>
      </c>
      <c r="J16" s="92"/>
    </row>
    <row r="17" spans="1:9" ht="39">
      <c r="A17" s="119" t="s">
        <v>23</v>
      </c>
      <c r="B17" s="119"/>
      <c r="C17" s="119" t="s">
        <v>24</v>
      </c>
      <c r="D17" s="119" t="s">
        <v>25</v>
      </c>
      <c r="E17" s="119" t="s">
        <v>26</v>
      </c>
      <c r="F17" s="119" t="s">
        <v>27</v>
      </c>
      <c r="G17" s="120" t="s">
        <v>505</v>
      </c>
      <c r="H17" s="120" t="s">
        <v>529</v>
      </c>
      <c r="I17" s="120" t="s">
        <v>988</v>
      </c>
    </row>
    <row r="18" spans="1:9" ht="16.5">
      <c r="A18" s="121" t="s">
        <v>98</v>
      </c>
      <c r="B18" s="122">
        <v>901</v>
      </c>
      <c r="C18" s="123"/>
      <c r="D18" s="123"/>
      <c r="E18" s="123"/>
      <c r="F18" s="123"/>
      <c r="G18" s="124">
        <f>G19+G42</f>
        <v>6009000</v>
      </c>
      <c r="H18" s="124">
        <f>H19+H42</f>
        <v>5917000</v>
      </c>
      <c r="I18" s="124">
        <f>I19+I42</f>
        <v>5917000</v>
      </c>
    </row>
    <row r="19" spans="1:9" ht="16.5">
      <c r="A19" s="41" t="s">
        <v>45</v>
      </c>
      <c r="B19" s="23">
        <v>901</v>
      </c>
      <c r="C19" s="18" t="s">
        <v>9</v>
      </c>
      <c r="D19" s="18"/>
      <c r="E19" s="18"/>
      <c r="F19" s="18"/>
      <c r="G19" s="43">
        <f>G20+G29+G36</f>
        <v>6009000</v>
      </c>
      <c r="H19" s="43">
        <f>H20+H29</f>
        <v>5917000</v>
      </c>
      <c r="I19" s="43">
        <f>I20+I29</f>
        <v>5917000</v>
      </c>
    </row>
    <row r="20" spans="1:9" ht="49.5">
      <c r="A20" s="41" t="s">
        <v>111</v>
      </c>
      <c r="B20" s="23">
        <v>901</v>
      </c>
      <c r="C20" s="19" t="s">
        <v>9</v>
      </c>
      <c r="D20" s="18" t="s">
        <v>18</v>
      </c>
      <c r="E20" s="18"/>
      <c r="F20" s="18"/>
      <c r="G20" s="42">
        <f aca="true" t="shared" si="0" ref="G20:I21">G21</f>
        <v>4462000</v>
      </c>
      <c r="H20" s="42">
        <f t="shared" si="0"/>
        <v>4430000</v>
      </c>
      <c r="I20" s="42">
        <f t="shared" si="0"/>
        <v>4430000</v>
      </c>
    </row>
    <row r="21" spans="1:9" s="66" customFormat="1" ht="49.5">
      <c r="A21" s="41" t="s">
        <v>201</v>
      </c>
      <c r="B21" s="23">
        <v>901</v>
      </c>
      <c r="C21" s="19" t="s">
        <v>9</v>
      </c>
      <c r="D21" s="18" t="s">
        <v>18</v>
      </c>
      <c r="E21" s="61" t="s">
        <v>210</v>
      </c>
      <c r="F21" s="65"/>
      <c r="G21" s="42">
        <f t="shared" si="0"/>
        <v>4462000</v>
      </c>
      <c r="H21" s="42">
        <f t="shared" si="0"/>
        <v>4430000</v>
      </c>
      <c r="I21" s="42">
        <f t="shared" si="0"/>
        <v>4430000</v>
      </c>
    </row>
    <row r="22" spans="1:9" s="66" customFormat="1" ht="33">
      <c r="A22" s="41" t="s">
        <v>175</v>
      </c>
      <c r="B22" s="23">
        <v>901</v>
      </c>
      <c r="C22" s="19" t="s">
        <v>9</v>
      </c>
      <c r="D22" s="18" t="s">
        <v>18</v>
      </c>
      <c r="E22" s="18" t="s">
        <v>211</v>
      </c>
      <c r="F22" s="65"/>
      <c r="G22" s="42">
        <f>G23+G25</f>
        <v>4462000</v>
      </c>
      <c r="H22" s="42">
        <f>H23+H25</f>
        <v>4430000</v>
      </c>
      <c r="I22" s="42">
        <f>I23+I25</f>
        <v>4430000</v>
      </c>
    </row>
    <row r="23" spans="1:9" s="66" customFormat="1" ht="33">
      <c r="A23" s="41" t="s">
        <v>126</v>
      </c>
      <c r="B23" s="23">
        <v>901</v>
      </c>
      <c r="C23" s="19" t="s">
        <v>9</v>
      </c>
      <c r="D23" s="18" t="s">
        <v>18</v>
      </c>
      <c r="E23" s="18" t="s">
        <v>212</v>
      </c>
      <c r="F23" s="65"/>
      <c r="G23" s="42">
        <f>G24</f>
        <v>1636500</v>
      </c>
      <c r="H23" s="42">
        <f>H24</f>
        <v>1636500</v>
      </c>
      <c r="I23" s="42">
        <f>I24</f>
        <v>1636500</v>
      </c>
    </row>
    <row r="24" spans="1:9" s="66" customFormat="1" ht="33">
      <c r="A24" s="41" t="s">
        <v>127</v>
      </c>
      <c r="B24" s="23">
        <v>901</v>
      </c>
      <c r="C24" s="19" t="s">
        <v>9</v>
      </c>
      <c r="D24" s="18" t="s">
        <v>18</v>
      </c>
      <c r="E24" s="18" t="s">
        <v>212</v>
      </c>
      <c r="F24" s="18" t="s">
        <v>128</v>
      </c>
      <c r="G24" s="42">
        <v>1636500</v>
      </c>
      <c r="H24" s="42">
        <v>1636500</v>
      </c>
      <c r="I24" s="42">
        <v>1636500</v>
      </c>
    </row>
    <row r="25" spans="1:9" s="66" customFormat="1" ht="16.5">
      <c r="A25" s="41" t="s">
        <v>129</v>
      </c>
      <c r="B25" s="23">
        <v>901</v>
      </c>
      <c r="C25" s="19" t="s">
        <v>9</v>
      </c>
      <c r="D25" s="18" t="s">
        <v>18</v>
      </c>
      <c r="E25" s="18" t="s">
        <v>213</v>
      </c>
      <c r="F25" s="18"/>
      <c r="G25" s="42">
        <f>G26+G27+G28</f>
        <v>2825500</v>
      </c>
      <c r="H25" s="42">
        <f>H26+H27+H28</f>
        <v>2793500</v>
      </c>
      <c r="I25" s="42">
        <f>I26+I27+I28</f>
        <v>2793500</v>
      </c>
    </row>
    <row r="26" spans="1:9" s="66" customFormat="1" ht="33">
      <c r="A26" s="41" t="s">
        <v>127</v>
      </c>
      <c r="B26" s="23">
        <v>901</v>
      </c>
      <c r="C26" s="19" t="s">
        <v>9</v>
      </c>
      <c r="D26" s="18" t="s">
        <v>18</v>
      </c>
      <c r="E26" s="18" t="s">
        <v>213</v>
      </c>
      <c r="F26" s="18" t="s">
        <v>128</v>
      </c>
      <c r="G26" s="42">
        <v>1970400</v>
      </c>
      <c r="H26" s="42">
        <v>1970400</v>
      </c>
      <c r="I26" s="42">
        <v>1970400</v>
      </c>
    </row>
    <row r="27" spans="1:9" s="66" customFormat="1" ht="33">
      <c r="A27" s="72" t="s">
        <v>130</v>
      </c>
      <c r="B27" s="23">
        <v>901</v>
      </c>
      <c r="C27" s="19" t="s">
        <v>9</v>
      </c>
      <c r="D27" s="18" t="s">
        <v>18</v>
      </c>
      <c r="E27" s="18" t="s">
        <v>213</v>
      </c>
      <c r="F27" s="18" t="s">
        <v>131</v>
      </c>
      <c r="G27" s="42">
        <f>821500+32000</f>
        <v>853500</v>
      </c>
      <c r="H27" s="42">
        <v>821500</v>
      </c>
      <c r="I27" s="42">
        <v>821500</v>
      </c>
    </row>
    <row r="28" spans="1:9" s="66" customFormat="1" ht="16.5">
      <c r="A28" s="95" t="s">
        <v>132</v>
      </c>
      <c r="B28" s="23">
        <v>901</v>
      </c>
      <c r="C28" s="19" t="s">
        <v>9</v>
      </c>
      <c r="D28" s="18" t="s">
        <v>18</v>
      </c>
      <c r="E28" s="18" t="s">
        <v>213</v>
      </c>
      <c r="F28" s="18" t="s">
        <v>133</v>
      </c>
      <c r="G28" s="42">
        <v>1600</v>
      </c>
      <c r="H28" s="42">
        <v>1600</v>
      </c>
      <c r="I28" s="42">
        <v>1600</v>
      </c>
    </row>
    <row r="29" spans="1:9" ht="33">
      <c r="A29" s="41" t="s">
        <v>56</v>
      </c>
      <c r="B29" s="23">
        <v>901</v>
      </c>
      <c r="C29" s="19" t="s">
        <v>9</v>
      </c>
      <c r="D29" s="19" t="s">
        <v>15</v>
      </c>
      <c r="E29" s="18"/>
      <c r="F29" s="18"/>
      <c r="G29" s="42">
        <f aca="true" t="shared" si="1" ref="G29:I30">G30</f>
        <v>1487000</v>
      </c>
      <c r="H29" s="42">
        <f t="shared" si="1"/>
        <v>1487000</v>
      </c>
      <c r="I29" s="42">
        <f t="shared" si="1"/>
        <v>1487000</v>
      </c>
    </row>
    <row r="30" spans="1:9" ht="49.5">
      <c r="A30" s="41" t="s">
        <v>201</v>
      </c>
      <c r="B30" s="23">
        <v>901</v>
      </c>
      <c r="C30" s="19" t="s">
        <v>9</v>
      </c>
      <c r="D30" s="19" t="s">
        <v>15</v>
      </c>
      <c r="E30" s="61" t="s">
        <v>210</v>
      </c>
      <c r="F30" s="18"/>
      <c r="G30" s="42">
        <f t="shared" si="1"/>
        <v>1487000</v>
      </c>
      <c r="H30" s="42">
        <f t="shared" si="1"/>
        <v>1487000</v>
      </c>
      <c r="I30" s="42">
        <f t="shared" si="1"/>
        <v>1487000</v>
      </c>
    </row>
    <row r="31" spans="1:9" s="66" customFormat="1" ht="33">
      <c r="A31" s="41" t="s">
        <v>174</v>
      </c>
      <c r="B31" s="23">
        <v>901</v>
      </c>
      <c r="C31" s="19" t="s">
        <v>9</v>
      </c>
      <c r="D31" s="19" t="s">
        <v>15</v>
      </c>
      <c r="E31" s="18" t="s">
        <v>216</v>
      </c>
      <c r="F31" s="18"/>
      <c r="G31" s="42">
        <f>G32+G34</f>
        <v>1487000</v>
      </c>
      <c r="H31" s="42">
        <f>H32+H34</f>
        <v>1487000</v>
      </c>
      <c r="I31" s="42">
        <f>I32+I34</f>
        <v>1487000</v>
      </c>
    </row>
    <row r="32" spans="1:9" s="66" customFormat="1" ht="16.5">
      <c r="A32" s="41" t="s">
        <v>134</v>
      </c>
      <c r="B32" s="23">
        <v>901</v>
      </c>
      <c r="C32" s="19" t="s">
        <v>9</v>
      </c>
      <c r="D32" s="19" t="s">
        <v>15</v>
      </c>
      <c r="E32" s="18" t="s">
        <v>217</v>
      </c>
      <c r="F32" s="19"/>
      <c r="G32" s="42">
        <f>G33</f>
        <v>900400</v>
      </c>
      <c r="H32" s="42">
        <f>H33</f>
        <v>900400</v>
      </c>
      <c r="I32" s="42">
        <f>I33</f>
        <v>900400</v>
      </c>
    </row>
    <row r="33" spans="1:9" s="66" customFormat="1" ht="33">
      <c r="A33" s="41" t="s">
        <v>127</v>
      </c>
      <c r="B33" s="23">
        <v>901</v>
      </c>
      <c r="C33" s="19" t="s">
        <v>9</v>
      </c>
      <c r="D33" s="19" t="s">
        <v>15</v>
      </c>
      <c r="E33" s="18" t="s">
        <v>217</v>
      </c>
      <c r="F33" s="18" t="s">
        <v>128</v>
      </c>
      <c r="G33" s="42">
        <v>900400</v>
      </c>
      <c r="H33" s="42">
        <v>900400</v>
      </c>
      <c r="I33" s="42">
        <v>900400</v>
      </c>
    </row>
    <row r="34" spans="1:9" s="66" customFormat="1" ht="16.5">
      <c r="A34" s="41" t="s">
        <v>129</v>
      </c>
      <c r="B34" s="23">
        <v>901</v>
      </c>
      <c r="C34" s="19" t="s">
        <v>9</v>
      </c>
      <c r="D34" s="19" t="s">
        <v>15</v>
      </c>
      <c r="E34" s="18" t="s">
        <v>436</v>
      </c>
      <c r="F34" s="19"/>
      <c r="G34" s="42">
        <f>G35</f>
        <v>586600</v>
      </c>
      <c r="H34" s="42">
        <f>H35</f>
        <v>586600</v>
      </c>
      <c r="I34" s="42">
        <f>I35</f>
        <v>586600</v>
      </c>
    </row>
    <row r="35" spans="1:9" s="66" customFormat="1" ht="33">
      <c r="A35" s="41" t="s">
        <v>127</v>
      </c>
      <c r="B35" s="23">
        <v>901</v>
      </c>
      <c r="C35" s="19" t="s">
        <v>9</v>
      </c>
      <c r="D35" s="19" t="s">
        <v>15</v>
      </c>
      <c r="E35" s="18" t="s">
        <v>436</v>
      </c>
      <c r="F35" s="18" t="s">
        <v>128</v>
      </c>
      <c r="G35" s="42">
        <v>586600</v>
      </c>
      <c r="H35" s="42">
        <v>586600</v>
      </c>
      <c r="I35" s="42">
        <v>586600</v>
      </c>
    </row>
    <row r="36" spans="1:9" ht="16.5">
      <c r="A36" s="41" t="s">
        <v>46</v>
      </c>
      <c r="B36" s="23">
        <v>901</v>
      </c>
      <c r="C36" s="19" t="s">
        <v>9</v>
      </c>
      <c r="D36" s="19" t="s">
        <v>19</v>
      </c>
      <c r="E36" s="18"/>
      <c r="F36" s="18"/>
      <c r="G36" s="42">
        <f>G37</f>
        <v>60000</v>
      </c>
      <c r="H36" s="42">
        <f aca="true" t="shared" si="2" ref="H36:I38">H37</f>
        <v>30000</v>
      </c>
      <c r="I36" s="42">
        <f t="shared" si="2"/>
        <v>30000</v>
      </c>
    </row>
    <row r="37" spans="1:9" ht="49.5">
      <c r="A37" s="41" t="s">
        <v>201</v>
      </c>
      <c r="B37" s="23">
        <v>901</v>
      </c>
      <c r="C37" s="19" t="s">
        <v>9</v>
      </c>
      <c r="D37" s="19" t="s">
        <v>19</v>
      </c>
      <c r="E37" s="61" t="s">
        <v>210</v>
      </c>
      <c r="F37" s="18"/>
      <c r="G37" s="42">
        <f>G38</f>
        <v>60000</v>
      </c>
      <c r="H37" s="42">
        <f t="shared" si="2"/>
        <v>30000</v>
      </c>
      <c r="I37" s="42">
        <f t="shared" si="2"/>
        <v>30000</v>
      </c>
    </row>
    <row r="38" spans="1:9" ht="16.5">
      <c r="A38" s="41" t="s">
        <v>46</v>
      </c>
      <c r="B38" s="23">
        <v>901</v>
      </c>
      <c r="C38" s="19" t="s">
        <v>9</v>
      </c>
      <c r="D38" s="19" t="s">
        <v>19</v>
      </c>
      <c r="E38" s="18" t="s">
        <v>226</v>
      </c>
      <c r="F38" s="59"/>
      <c r="G38" s="42">
        <f>G39</f>
        <v>60000</v>
      </c>
      <c r="H38" s="42">
        <f t="shared" si="2"/>
        <v>30000</v>
      </c>
      <c r="I38" s="42">
        <f t="shared" si="2"/>
        <v>30000</v>
      </c>
    </row>
    <row r="39" spans="1:9" ht="16.5">
      <c r="A39" s="95" t="s">
        <v>180</v>
      </c>
      <c r="B39" s="23">
        <v>901</v>
      </c>
      <c r="C39" s="18" t="s">
        <v>9</v>
      </c>
      <c r="D39" s="18" t="s">
        <v>19</v>
      </c>
      <c r="E39" s="18" t="s">
        <v>227</v>
      </c>
      <c r="F39" s="18"/>
      <c r="G39" s="42">
        <f>G40+G41+G42</f>
        <v>60000</v>
      </c>
      <c r="H39" s="42">
        <f>H40+H41+H42</f>
        <v>30000</v>
      </c>
      <c r="I39" s="42">
        <f>I40+I41+I42</f>
        <v>30000</v>
      </c>
    </row>
    <row r="40" spans="1:9" ht="33" hidden="1">
      <c r="A40" s="41" t="s">
        <v>130</v>
      </c>
      <c r="B40" s="23">
        <v>901</v>
      </c>
      <c r="C40" s="18" t="s">
        <v>9</v>
      </c>
      <c r="D40" s="18" t="s">
        <v>19</v>
      </c>
      <c r="E40" s="18" t="s">
        <v>227</v>
      </c>
      <c r="F40" s="18" t="s">
        <v>131</v>
      </c>
      <c r="G40" s="42"/>
      <c r="H40" s="42"/>
      <c r="I40" s="42"/>
    </row>
    <row r="41" spans="1:9" ht="16.5">
      <c r="A41" s="95" t="s">
        <v>194</v>
      </c>
      <c r="B41" s="23">
        <v>901</v>
      </c>
      <c r="C41" s="18" t="s">
        <v>9</v>
      </c>
      <c r="D41" s="18" t="s">
        <v>19</v>
      </c>
      <c r="E41" s="18" t="s">
        <v>227</v>
      </c>
      <c r="F41" s="18" t="s">
        <v>193</v>
      </c>
      <c r="G41" s="42">
        <v>60000</v>
      </c>
      <c r="H41" s="42">
        <v>30000</v>
      </c>
      <c r="I41" s="42">
        <v>30000</v>
      </c>
    </row>
    <row r="42" spans="1:9" ht="16.5" hidden="1">
      <c r="A42" s="41" t="s">
        <v>28</v>
      </c>
      <c r="B42" s="23">
        <v>901</v>
      </c>
      <c r="C42" s="18" t="s">
        <v>8</v>
      </c>
      <c r="D42" s="18"/>
      <c r="E42" s="18"/>
      <c r="F42" s="18"/>
      <c r="G42" s="43">
        <f aca="true" t="shared" si="3" ref="G42:I46">G43</f>
        <v>0</v>
      </c>
      <c r="H42" s="43">
        <f t="shared" si="3"/>
        <v>0</v>
      </c>
      <c r="I42" s="43">
        <f t="shared" si="3"/>
        <v>0</v>
      </c>
    </row>
    <row r="43" spans="1:9" ht="33" hidden="1">
      <c r="A43" s="96" t="s">
        <v>118</v>
      </c>
      <c r="B43" s="23">
        <v>901</v>
      </c>
      <c r="C43" s="18" t="s">
        <v>8</v>
      </c>
      <c r="D43" s="18" t="s">
        <v>13</v>
      </c>
      <c r="E43" s="18"/>
      <c r="F43" s="18"/>
      <c r="G43" s="43">
        <f t="shared" si="3"/>
        <v>0</v>
      </c>
      <c r="H43" s="43">
        <f t="shared" si="3"/>
        <v>0</v>
      </c>
      <c r="I43" s="43">
        <f t="shared" si="3"/>
        <v>0</v>
      </c>
    </row>
    <row r="44" spans="1:9" s="66" customFormat="1" ht="33" hidden="1">
      <c r="A44" s="40" t="s">
        <v>1122</v>
      </c>
      <c r="B44" s="23">
        <v>901</v>
      </c>
      <c r="C44" s="18" t="s">
        <v>8</v>
      </c>
      <c r="D44" s="18" t="s">
        <v>13</v>
      </c>
      <c r="E44" s="61" t="s">
        <v>235</v>
      </c>
      <c r="F44" s="59"/>
      <c r="G44" s="43">
        <f t="shared" si="3"/>
        <v>0</v>
      </c>
      <c r="H44" s="43">
        <f t="shared" si="3"/>
        <v>0</v>
      </c>
      <c r="I44" s="43">
        <f t="shared" si="3"/>
        <v>0</v>
      </c>
    </row>
    <row r="45" spans="1:9" s="66" customFormat="1" ht="33" hidden="1">
      <c r="A45" s="74" t="s">
        <v>437</v>
      </c>
      <c r="B45" s="23">
        <v>901</v>
      </c>
      <c r="C45" s="18" t="s">
        <v>8</v>
      </c>
      <c r="D45" s="18" t="s">
        <v>13</v>
      </c>
      <c r="E45" s="61" t="s">
        <v>1231</v>
      </c>
      <c r="F45" s="65"/>
      <c r="G45" s="43">
        <f>G46</f>
        <v>0</v>
      </c>
      <c r="H45" s="43">
        <f t="shared" si="3"/>
        <v>0</v>
      </c>
      <c r="I45" s="43">
        <f t="shared" si="3"/>
        <v>0</v>
      </c>
    </row>
    <row r="46" spans="1:9" s="66" customFormat="1" ht="33" hidden="1">
      <c r="A46" s="74" t="s">
        <v>456</v>
      </c>
      <c r="B46" s="23">
        <v>901</v>
      </c>
      <c r="C46" s="18" t="s">
        <v>8</v>
      </c>
      <c r="D46" s="18" t="s">
        <v>13</v>
      </c>
      <c r="E46" s="61" t="s">
        <v>1232</v>
      </c>
      <c r="F46" s="65"/>
      <c r="G46" s="43">
        <f t="shared" si="3"/>
        <v>0</v>
      </c>
      <c r="H46" s="43">
        <f t="shared" si="3"/>
        <v>0</v>
      </c>
      <c r="I46" s="43">
        <f t="shared" si="3"/>
        <v>0</v>
      </c>
    </row>
    <row r="47" spans="1:9" s="66" customFormat="1" ht="33" hidden="1">
      <c r="A47" s="41" t="s">
        <v>130</v>
      </c>
      <c r="B47" s="23">
        <v>901</v>
      </c>
      <c r="C47" s="18" t="s">
        <v>8</v>
      </c>
      <c r="D47" s="18" t="s">
        <v>13</v>
      </c>
      <c r="E47" s="61" t="s">
        <v>1232</v>
      </c>
      <c r="F47" s="65">
        <v>240</v>
      </c>
      <c r="G47" s="43"/>
      <c r="H47" s="43"/>
      <c r="I47" s="43"/>
    </row>
    <row r="48" spans="1:9" ht="16.5">
      <c r="A48" s="121" t="s">
        <v>97</v>
      </c>
      <c r="B48" s="122">
        <v>902</v>
      </c>
      <c r="C48" s="123"/>
      <c r="D48" s="123"/>
      <c r="E48" s="123"/>
      <c r="F48" s="123"/>
      <c r="G48" s="124">
        <f>G49+G118+G135+G145+G153+G168</f>
        <v>56917753.1</v>
      </c>
      <c r="H48" s="124">
        <f>H49+H118+H135+H145+H153+H168</f>
        <v>53258600</v>
      </c>
      <c r="I48" s="124">
        <f>I49+I118+I135+I145+I153+I168</f>
        <v>53304600</v>
      </c>
    </row>
    <row r="49" spans="1:9" ht="16.5">
      <c r="A49" s="41" t="s">
        <v>45</v>
      </c>
      <c r="B49" s="23">
        <v>902</v>
      </c>
      <c r="C49" s="18" t="s">
        <v>9</v>
      </c>
      <c r="D49" s="18"/>
      <c r="E49" s="18"/>
      <c r="F49" s="18"/>
      <c r="G49" s="43">
        <f>G50+G55+G72+G79+G84</f>
        <v>44005716.1</v>
      </c>
      <c r="H49" s="43">
        <f>H50+H55+H72+H79+H84</f>
        <v>40176727</v>
      </c>
      <c r="I49" s="43">
        <f>I50+I55+I72+I79+I84</f>
        <v>40240727</v>
      </c>
    </row>
    <row r="50" spans="1:9" ht="33">
      <c r="A50" s="41" t="s">
        <v>31</v>
      </c>
      <c r="B50" s="23">
        <v>902</v>
      </c>
      <c r="C50" s="19" t="s">
        <v>9</v>
      </c>
      <c r="D50" s="18" t="s">
        <v>14</v>
      </c>
      <c r="E50" s="18"/>
      <c r="F50" s="18"/>
      <c r="G50" s="42">
        <f>G51</f>
        <v>2000100</v>
      </c>
      <c r="H50" s="42">
        <f aca="true" t="shared" si="4" ref="H50:I53">H51</f>
        <v>2000100</v>
      </c>
      <c r="I50" s="42">
        <f t="shared" si="4"/>
        <v>2000100</v>
      </c>
    </row>
    <row r="51" spans="1:9" ht="49.5">
      <c r="A51" s="41" t="s">
        <v>201</v>
      </c>
      <c r="B51" s="23">
        <v>902</v>
      </c>
      <c r="C51" s="19" t="s">
        <v>9</v>
      </c>
      <c r="D51" s="19" t="s">
        <v>14</v>
      </c>
      <c r="E51" s="61" t="s">
        <v>210</v>
      </c>
      <c r="F51" s="18"/>
      <c r="G51" s="42">
        <f>G52</f>
        <v>2000100</v>
      </c>
      <c r="H51" s="42">
        <f t="shared" si="4"/>
        <v>2000100</v>
      </c>
      <c r="I51" s="42">
        <f t="shared" si="4"/>
        <v>2000100</v>
      </c>
    </row>
    <row r="52" spans="1:9" s="66" customFormat="1" ht="16.5">
      <c r="A52" s="41" t="s">
        <v>176</v>
      </c>
      <c r="B52" s="23">
        <v>902</v>
      </c>
      <c r="C52" s="19" t="s">
        <v>9</v>
      </c>
      <c r="D52" s="19" t="s">
        <v>14</v>
      </c>
      <c r="E52" s="18" t="s">
        <v>208</v>
      </c>
      <c r="F52" s="18"/>
      <c r="G52" s="42">
        <f>G53</f>
        <v>2000100</v>
      </c>
      <c r="H52" s="42">
        <f t="shared" si="4"/>
        <v>2000100</v>
      </c>
      <c r="I52" s="42">
        <f t="shared" si="4"/>
        <v>2000100</v>
      </c>
    </row>
    <row r="53" spans="1:9" s="66" customFormat="1" ht="16.5">
      <c r="A53" s="41" t="s">
        <v>55</v>
      </c>
      <c r="B53" s="23">
        <v>902</v>
      </c>
      <c r="C53" s="19" t="s">
        <v>9</v>
      </c>
      <c r="D53" s="19" t="s">
        <v>14</v>
      </c>
      <c r="E53" s="18" t="s">
        <v>209</v>
      </c>
      <c r="F53" s="18"/>
      <c r="G53" s="42">
        <f>G54</f>
        <v>2000100</v>
      </c>
      <c r="H53" s="42">
        <f t="shared" si="4"/>
        <v>2000100</v>
      </c>
      <c r="I53" s="42">
        <f t="shared" si="4"/>
        <v>2000100</v>
      </c>
    </row>
    <row r="54" spans="1:9" s="66" customFormat="1" ht="33">
      <c r="A54" s="41" t="s">
        <v>127</v>
      </c>
      <c r="B54" s="23">
        <v>902</v>
      </c>
      <c r="C54" s="19" t="s">
        <v>9</v>
      </c>
      <c r="D54" s="19" t="s">
        <v>14</v>
      </c>
      <c r="E54" s="18" t="s">
        <v>209</v>
      </c>
      <c r="F54" s="18" t="s">
        <v>128</v>
      </c>
      <c r="G54" s="42">
        <v>2000100</v>
      </c>
      <c r="H54" s="42">
        <v>2000100</v>
      </c>
      <c r="I54" s="42">
        <v>2000100</v>
      </c>
    </row>
    <row r="55" spans="1:9" ht="49.5">
      <c r="A55" s="41" t="s">
        <v>69</v>
      </c>
      <c r="B55" s="23">
        <v>902</v>
      </c>
      <c r="C55" s="19" t="s">
        <v>9</v>
      </c>
      <c r="D55" s="19" t="s">
        <v>12</v>
      </c>
      <c r="E55" s="19"/>
      <c r="F55" s="19"/>
      <c r="G55" s="42">
        <f>G66+G56</f>
        <v>26571600</v>
      </c>
      <c r="H55" s="42">
        <f>H66+H56</f>
        <v>26628400</v>
      </c>
      <c r="I55" s="42">
        <f>I66+I56</f>
        <v>26692400</v>
      </c>
    </row>
    <row r="56" spans="1:9" s="66" customFormat="1" ht="33">
      <c r="A56" s="40" t="s">
        <v>1122</v>
      </c>
      <c r="B56" s="23">
        <v>902</v>
      </c>
      <c r="C56" s="19" t="s">
        <v>9</v>
      </c>
      <c r="D56" s="19" t="s">
        <v>12</v>
      </c>
      <c r="E56" s="61" t="s">
        <v>235</v>
      </c>
      <c r="F56" s="59"/>
      <c r="G56" s="43">
        <f>G57</f>
        <v>1543000</v>
      </c>
      <c r="H56" s="43">
        <f>H57</f>
        <v>1604000</v>
      </c>
      <c r="I56" s="43">
        <f>I57</f>
        <v>1668000</v>
      </c>
    </row>
    <row r="57" spans="1:9" s="66" customFormat="1" ht="33">
      <c r="A57" s="77" t="s">
        <v>444</v>
      </c>
      <c r="B57" s="23">
        <v>902</v>
      </c>
      <c r="C57" s="19" t="s">
        <v>9</v>
      </c>
      <c r="D57" s="19" t="s">
        <v>12</v>
      </c>
      <c r="E57" s="61" t="s">
        <v>518</v>
      </c>
      <c r="F57" s="65"/>
      <c r="G57" s="42">
        <f>G58+G60+G62+G64</f>
        <v>1543000</v>
      </c>
      <c r="H57" s="42">
        <f>H58+H60+H62+H64</f>
        <v>1604000</v>
      </c>
      <c r="I57" s="42">
        <f>I58+I60+I62+I64</f>
        <v>1668000</v>
      </c>
    </row>
    <row r="58" spans="1:9" s="66" customFormat="1" ht="49.5">
      <c r="A58" s="77" t="s">
        <v>325</v>
      </c>
      <c r="B58" s="23">
        <v>902</v>
      </c>
      <c r="C58" s="19" t="s">
        <v>9</v>
      </c>
      <c r="D58" s="19" t="s">
        <v>12</v>
      </c>
      <c r="E58" s="61" t="s">
        <v>1226</v>
      </c>
      <c r="F58" s="65"/>
      <c r="G58" s="42">
        <f>G59</f>
        <v>542000</v>
      </c>
      <c r="H58" s="42">
        <f>H59</f>
        <v>564000</v>
      </c>
      <c r="I58" s="42">
        <f>I59</f>
        <v>586000</v>
      </c>
    </row>
    <row r="59" spans="1:9" s="66" customFormat="1" ht="33">
      <c r="A59" s="41" t="s">
        <v>127</v>
      </c>
      <c r="B59" s="23">
        <v>902</v>
      </c>
      <c r="C59" s="19" t="s">
        <v>9</v>
      </c>
      <c r="D59" s="19" t="s">
        <v>12</v>
      </c>
      <c r="E59" s="61" t="s">
        <v>1226</v>
      </c>
      <c r="F59" s="65">
        <v>120</v>
      </c>
      <c r="G59" s="42">
        <v>542000</v>
      </c>
      <c r="H59" s="42">
        <v>564000</v>
      </c>
      <c r="I59" s="42">
        <v>586000</v>
      </c>
    </row>
    <row r="60" spans="1:9" s="66" customFormat="1" ht="33">
      <c r="A60" s="77" t="s">
        <v>327</v>
      </c>
      <c r="B60" s="23">
        <v>902</v>
      </c>
      <c r="C60" s="19" t="s">
        <v>9</v>
      </c>
      <c r="D60" s="19" t="s">
        <v>12</v>
      </c>
      <c r="E60" s="61" t="s">
        <v>1227</v>
      </c>
      <c r="F60" s="65"/>
      <c r="G60" s="42">
        <f>G61</f>
        <v>457000</v>
      </c>
      <c r="H60" s="42">
        <f>H61</f>
        <v>475000</v>
      </c>
      <c r="I60" s="42">
        <f>I61</f>
        <v>494000</v>
      </c>
    </row>
    <row r="61" spans="1:9" s="66" customFormat="1" ht="33">
      <c r="A61" s="41" t="s">
        <v>127</v>
      </c>
      <c r="B61" s="23">
        <v>902</v>
      </c>
      <c r="C61" s="19" t="s">
        <v>9</v>
      </c>
      <c r="D61" s="19" t="s">
        <v>12</v>
      </c>
      <c r="E61" s="61" t="s">
        <v>1227</v>
      </c>
      <c r="F61" s="65">
        <v>120</v>
      </c>
      <c r="G61" s="42">
        <v>457000</v>
      </c>
      <c r="H61" s="42">
        <v>475000</v>
      </c>
      <c r="I61" s="42">
        <v>494000</v>
      </c>
    </row>
    <row r="62" spans="1:9" s="66" customFormat="1" ht="49.5">
      <c r="A62" s="77" t="s">
        <v>326</v>
      </c>
      <c r="B62" s="23">
        <v>902</v>
      </c>
      <c r="C62" s="19" t="s">
        <v>9</v>
      </c>
      <c r="D62" s="19" t="s">
        <v>12</v>
      </c>
      <c r="E62" s="61" t="s">
        <v>1228</v>
      </c>
      <c r="F62" s="65"/>
      <c r="G62" s="42">
        <f>G63</f>
        <v>542000</v>
      </c>
      <c r="H62" s="42">
        <f>H63</f>
        <v>563000</v>
      </c>
      <c r="I62" s="42">
        <f>I63</f>
        <v>586000</v>
      </c>
    </row>
    <row r="63" spans="1:9" s="66" customFormat="1" ht="33">
      <c r="A63" s="41" t="s">
        <v>127</v>
      </c>
      <c r="B63" s="23">
        <v>902</v>
      </c>
      <c r="C63" s="19" t="s">
        <v>9</v>
      </c>
      <c r="D63" s="19" t="s">
        <v>12</v>
      </c>
      <c r="E63" s="61" t="s">
        <v>1228</v>
      </c>
      <c r="F63" s="65">
        <v>120</v>
      </c>
      <c r="G63" s="42">
        <v>542000</v>
      </c>
      <c r="H63" s="42">
        <v>563000</v>
      </c>
      <c r="I63" s="42">
        <v>586000</v>
      </c>
    </row>
    <row r="64" spans="1:9" s="66" customFormat="1" ht="49.5">
      <c r="A64" s="77" t="s">
        <v>205</v>
      </c>
      <c r="B64" s="23">
        <v>902</v>
      </c>
      <c r="C64" s="19" t="s">
        <v>9</v>
      </c>
      <c r="D64" s="19" t="s">
        <v>12</v>
      </c>
      <c r="E64" s="61" t="s">
        <v>1229</v>
      </c>
      <c r="F64" s="65"/>
      <c r="G64" s="42">
        <f>G65</f>
        <v>2000</v>
      </c>
      <c r="H64" s="42">
        <f>H65</f>
        <v>2000</v>
      </c>
      <c r="I64" s="42">
        <f>I65</f>
        <v>2000</v>
      </c>
    </row>
    <row r="65" spans="1:9" s="66" customFormat="1" ht="33">
      <c r="A65" s="41" t="s">
        <v>130</v>
      </c>
      <c r="B65" s="23">
        <v>902</v>
      </c>
      <c r="C65" s="19" t="s">
        <v>9</v>
      </c>
      <c r="D65" s="19" t="s">
        <v>12</v>
      </c>
      <c r="E65" s="61" t="s">
        <v>1229</v>
      </c>
      <c r="F65" s="65">
        <v>240</v>
      </c>
      <c r="G65" s="42">
        <v>2000</v>
      </c>
      <c r="H65" s="42">
        <v>2000</v>
      </c>
      <c r="I65" s="42">
        <v>2000</v>
      </c>
    </row>
    <row r="66" spans="1:9" ht="49.5">
      <c r="A66" s="41" t="s">
        <v>201</v>
      </c>
      <c r="B66" s="23">
        <v>902</v>
      </c>
      <c r="C66" s="19" t="s">
        <v>9</v>
      </c>
      <c r="D66" s="19" t="s">
        <v>12</v>
      </c>
      <c r="E66" s="61" t="s">
        <v>210</v>
      </c>
      <c r="F66" s="18"/>
      <c r="G66" s="42">
        <f aca="true" t="shared" si="5" ref="G66:I67">G67</f>
        <v>25028600</v>
      </c>
      <c r="H66" s="42">
        <f t="shared" si="5"/>
        <v>25024400</v>
      </c>
      <c r="I66" s="42">
        <f t="shared" si="5"/>
        <v>25024400</v>
      </c>
    </row>
    <row r="67" spans="1:9" ht="16.5">
      <c r="A67" s="41" t="s">
        <v>177</v>
      </c>
      <c r="B67" s="23">
        <v>902</v>
      </c>
      <c r="C67" s="19" t="s">
        <v>9</v>
      </c>
      <c r="D67" s="19" t="s">
        <v>12</v>
      </c>
      <c r="E67" s="18" t="s">
        <v>214</v>
      </c>
      <c r="F67" s="18"/>
      <c r="G67" s="43">
        <f t="shared" si="5"/>
        <v>25028600</v>
      </c>
      <c r="H67" s="43">
        <f t="shared" si="5"/>
        <v>25024400</v>
      </c>
      <c r="I67" s="43">
        <f t="shared" si="5"/>
        <v>25024400</v>
      </c>
    </row>
    <row r="68" spans="1:9" s="66" customFormat="1" ht="16.5">
      <c r="A68" s="41" t="s">
        <v>129</v>
      </c>
      <c r="B68" s="23">
        <v>902</v>
      </c>
      <c r="C68" s="19" t="s">
        <v>9</v>
      </c>
      <c r="D68" s="19" t="s">
        <v>12</v>
      </c>
      <c r="E68" s="18" t="s">
        <v>215</v>
      </c>
      <c r="F68" s="18"/>
      <c r="G68" s="42">
        <f>G69+G70+G71</f>
        <v>25028600</v>
      </c>
      <c r="H68" s="42">
        <f>H69+H70+H71</f>
        <v>25024400</v>
      </c>
      <c r="I68" s="42">
        <f>I69+I70+I71</f>
        <v>25024400</v>
      </c>
    </row>
    <row r="69" spans="1:9" s="66" customFormat="1" ht="33">
      <c r="A69" s="41" t="s">
        <v>127</v>
      </c>
      <c r="B69" s="23">
        <v>902</v>
      </c>
      <c r="C69" s="19" t="s">
        <v>9</v>
      </c>
      <c r="D69" s="19" t="s">
        <v>12</v>
      </c>
      <c r="E69" s="18" t="s">
        <v>215</v>
      </c>
      <c r="F69" s="18" t="s">
        <v>128</v>
      </c>
      <c r="G69" s="42">
        <v>16108900</v>
      </c>
      <c r="H69" s="42">
        <v>16108900</v>
      </c>
      <c r="I69" s="42">
        <v>16108900</v>
      </c>
    </row>
    <row r="70" spans="1:9" s="66" customFormat="1" ht="33">
      <c r="A70" s="72" t="s">
        <v>130</v>
      </c>
      <c r="B70" s="23">
        <v>902</v>
      </c>
      <c r="C70" s="19" t="s">
        <v>9</v>
      </c>
      <c r="D70" s="19" t="s">
        <v>12</v>
      </c>
      <c r="E70" s="18" t="s">
        <v>215</v>
      </c>
      <c r="F70" s="18" t="s">
        <v>131</v>
      </c>
      <c r="G70" s="42">
        <f>8799700-47400</f>
        <v>8752300</v>
      </c>
      <c r="H70" s="42">
        <f>8799700-51600</f>
        <v>8748100</v>
      </c>
      <c r="I70" s="42">
        <f>8799700-51600</f>
        <v>8748100</v>
      </c>
    </row>
    <row r="71" spans="1:9" s="66" customFormat="1" ht="16.5">
      <c r="A71" s="95" t="s">
        <v>132</v>
      </c>
      <c r="B71" s="23">
        <v>902</v>
      </c>
      <c r="C71" s="19" t="s">
        <v>9</v>
      </c>
      <c r="D71" s="19" t="s">
        <v>12</v>
      </c>
      <c r="E71" s="18" t="s">
        <v>215</v>
      </c>
      <c r="F71" s="18" t="s">
        <v>133</v>
      </c>
      <c r="G71" s="42">
        <v>167400</v>
      </c>
      <c r="H71" s="42">
        <v>167400</v>
      </c>
      <c r="I71" s="42">
        <v>167400</v>
      </c>
    </row>
    <row r="72" spans="1:9" ht="16.5">
      <c r="A72" s="97" t="s">
        <v>38</v>
      </c>
      <c r="B72" s="23">
        <v>902</v>
      </c>
      <c r="C72" s="19" t="s">
        <v>9</v>
      </c>
      <c r="D72" s="19" t="s">
        <v>8</v>
      </c>
      <c r="E72" s="18"/>
      <c r="F72" s="18"/>
      <c r="G72" s="42">
        <f aca="true" t="shared" si="6" ref="G72:I73">G73</f>
        <v>2931300.1</v>
      </c>
      <c r="H72" s="42">
        <f t="shared" si="6"/>
        <v>0</v>
      </c>
      <c r="I72" s="42">
        <f t="shared" si="6"/>
        <v>0</v>
      </c>
    </row>
    <row r="73" spans="1:9" ht="49.5">
      <c r="A73" s="41" t="s">
        <v>201</v>
      </c>
      <c r="B73" s="23">
        <v>902</v>
      </c>
      <c r="C73" s="19" t="s">
        <v>9</v>
      </c>
      <c r="D73" s="19" t="s">
        <v>8</v>
      </c>
      <c r="E73" s="61" t="s">
        <v>210</v>
      </c>
      <c r="F73" s="18"/>
      <c r="G73" s="42">
        <f t="shared" si="6"/>
        <v>2931300.1</v>
      </c>
      <c r="H73" s="42">
        <f t="shared" si="6"/>
        <v>0</v>
      </c>
      <c r="I73" s="42">
        <f t="shared" si="6"/>
        <v>0</v>
      </c>
    </row>
    <row r="74" spans="1:9" s="66" customFormat="1" ht="33">
      <c r="A74" s="41" t="s">
        <v>202</v>
      </c>
      <c r="B74" s="23">
        <v>902</v>
      </c>
      <c r="C74" s="19" t="s">
        <v>9</v>
      </c>
      <c r="D74" s="19" t="s">
        <v>8</v>
      </c>
      <c r="E74" s="18" t="s">
        <v>218</v>
      </c>
      <c r="F74" s="65"/>
      <c r="G74" s="42">
        <f>G75+G77</f>
        <v>2931300.1</v>
      </c>
      <c r="H74" s="42">
        <f>H75+H77</f>
        <v>0</v>
      </c>
      <c r="I74" s="42">
        <f>I75+I77</f>
        <v>0</v>
      </c>
    </row>
    <row r="75" spans="1:9" s="66" customFormat="1" ht="33">
      <c r="A75" s="41" t="s">
        <v>204</v>
      </c>
      <c r="B75" s="23">
        <v>902</v>
      </c>
      <c r="C75" s="19" t="s">
        <v>9</v>
      </c>
      <c r="D75" s="19" t="s">
        <v>8</v>
      </c>
      <c r="E75" s="18" t="s">
        <v>219</v>
      </c>
      <c r="F75" s="65"/>
      <c r="G75" s="42">
        <f>G76</f>
        <v>2176527.7</v>
      </c>
      <c r="H75" s="42">
        <f>H76</f>
        <v>0</v>
      </c>
      <c r="I75" s="42">
        <f>I76</f>
        <v>0</v>
      </c>
    </row>
    <row r="76" spans="1:9" s="66" customFormat="1" ht="16.5">
      <c r="A76" s="72" t="s">
        <v>541</v>
      </c>
      <c r="B76" s="23">
        <v>902</v>
      </c>
      <c r="C76" s="19" t="s">
        <v>9</v>
      </c>
      <c r="D76" s="19" t="s">
        <v>8</v>
      </c>
      <c r="E76" s="18" t="s">
        <v>219</v>
      </c>
      <c r="F76" s="18" t="s">
        <v>540</v>
      </c>
      <c r="G76" s="42">
        <v>2176527.7</v>
      </c>
      <c r="H76" s="42"/>
      <c r="I76" s="42"/>
    </row>
    <row r="77" spans="1:9" s="66" customFormat="1" ht="16.5">
      <c r="A77" s="41" t="s">
        <v>203</v>
      </c>
      <c r="B77" s="23">
        <v>902</v>
      </c>
      <c r="C77" s="19" t="s">
        <v>9</v>
      </c>
      <c r="D77" s="19" t="s">
        <v>8</v>
      </c>
      <c r="E77" s="18" t="s">
        <v>220</v>
      </c>
      <c r="F77" s="18"/>
      <c r="G77" s="42">
        <f>G78</f>
        <v>754772.4</v>
      </c>
      <c r="H77" s="42">
        <f>H78</f>
        <v>0</v>
      </c>
      <c r="I77" s="42">
        <f>I78</f>
        <v>0</v>
      </c>
    </row>
    <row r="78" spans="1:9" s="66" customFormat="1" ht="16.5">
      <c r="A78" s="72" t="s">
        <v>541</v>
      </c>
      <c r="B78" s="23">
        <v>902</v>
      </c>
      <c r="C78" s="19" t="s">
        <v>9</v>
      </c>
      <c r="D78" s="19" t="s">
        <v>8</v>
      </c>
      <c r="E78" s="18" t="s">
        <v>220</v>
      </c>
      <c r="F78" s="18" t="s">
        <v>540</v>
      </c>
      <c r="G78" s="42">
        <v>754772.4</v>
      </c>
      <c r="H78" s="42"/>
      <c r="I78" s="42"/>
    </row>
    <row r="79" spans="1:9" s="98" customFormat="1" ht="18.75">
      <c r="A79" s="40" t="s">
        <v>106</v>
      </c>
      <c r="B79" s="23">
        <v>902</v>
      </c>
      <c r="C79" s="61" t="s">
        <v>9</v>
      </c>
      <c r="D79" s="61" t="s">
        <v>17</v>
      </c>
      <c r="E79" s="61"/>
      <c r="F79" s="61"/>
      <c r="G79" s="43">
        <f>G80</f>
        <v>300000</v>
      </c>
      <c r="H79" s="43">
        <f>H80</f>
        <v>300000</v>
      </c>
      <c r="I79" s="43">
        <f>I80</f>
        <v>300000</v>
      </c>
    </row>
    <row r="80" spans="1:9" s="66" customFormat="1" ht="33">
      <c r="A80" s="40" t="s">
        <v>1123</v>
      </c>
      <c r="B80" s="23">
        <v>902</v>
      </c>
      <c r="C80" s="61" t="s">
        <v>9</v>
      </c>
      <c r="D80" s="61" t="s">
        <v>17</v>
      </c>
      <c r="E80" s="61" t="s">
        <v>235</v>
      </c>
      <c r="F80" s="59"/>
      <c r="G80" s="43">
        <f>G81</f>
        <v>300000</v>
      </c>
      <c r="H80" s="43">
        <f aca="true" t="shared" si="7" ref="H80:I82">H81</f>
        <v>300000</v>
      </c>
      <c r="I80" s="43">
        <f t="shared" si="7"/>
        <v>300000</v>
      </c>
    </row>
    <row r="81" spans="1:9" s="66" customFormat="1" ht="16.5">
      <c r="A81" s="77" t="s">
        <v>321</v>
      </c>
      <c r="B81" s="23">
        <v>902</v>
      </c>
      <c r="C81" s="61" t="s">
        <v>9</v>
      </c>
      <c r="D81" s="61" t="s">
        <v>17</v>
      </c>
      <c r="E81" s="61" t="s">
        <v>338</v>
      </c>
      <c r="F81" s="65"/>
      <c r="G81" s="42">
        <f>G82</f>
        <v>300000</v>
      </c>
      <c r="H81" s="42">
        <f t="shared" si="7"/>
        <v>300000</v>
      </c>
      <c r="I81" s="42">
        <f t="shared" si="7"/>
        <v>300000</v>
      </c>
    </row>
    <row r="82" spans="1:9" s="66" customFormat="1" ht="33">
      <c r="A82" s="77" t="s">
        <v>107</v>
      </c>
      <c r="B82" s="23">
        <v>902</v>
      </c>
      <c r="C82" s="61" t="s">
        <v>9</v>
      </c>
      <c r="D82" s="61" t="s">
        <v>17</v>
      </c>
      <c r="E82" s="61" t="s">
        <v>1222</v>
      </c>
      <c r="F82" s="65"/>
      <c r="G82" s="42">
        <f>G83</f>
        <v>300000</v>
      </c>
      <c r="H82" s="42">
        <f t="shared" si="7"/>
        <v>300000</v>
      </c>
      <c r="I82" s="42">
        <f t="shared" si="7"/>
        <v>300000</v>
      </c>
    </row>
    <row r="83" spans="1:9" s="66" customFormat="1" ht="16.5">
      <c r="A83" s="95" t="s">
        <v>135</v>
      </c>
      <c r="B83" s="23">
        <v>902</v>
      </c>
      <c r="C83" s="61" t="s">
        <v>9</v>
      </c>
      <c r="D83" s="61" t="s">
        <v>17</v>
      </c>
      <c r="E83" s="61" t="s">
        <v>1222</v>
      </c>
      <c r="F83" s="65">
        <v>870</v>
      </c>
      <c r="G83" s="42">
        <v>300000</v>
      </c>
      <c r="H83" s="42">
        <v>300000</v>
      </c>
      <c r="I83" s="42">
        <v>300000</v>
      </c>
    </row>
    <row r="84" spans="1:9" ht="16.5">
      <c r="A84" s="41" t="s">
        <v>46</v>
      </c>
      <c r="B84" s="23">
        <v>902</v>
      </c>
      <c r="C84" s="19" t="s">
        <v>9</v>
      </c>
      <c r="D84" s="19" t="s">
        <v>19</v>
      </c>
      <c r="E84" s="18"/>
      <c r="F84" s="18"/>
      <c r="G84" s="42">
        <f>G85+G90+G104+G95+G110</f>
        <v>12202716</v>
      </c>
      <c r="H84" s="42">
        <f>H85+H90+H104+H95+H110</f>
        <v>11248227</v>
      </c>
      <c r="I84" s="42">
        <f>I85+I90+I104+I95+I110</f>
        <v>11248227</v>
      </c>
    </row>
    <row r="85" spans="1:9" s="66" customFormat="1" ht="49.5">
      <c r="A85" s="41" t="s">
        <v>1124</v>
      </c>
      <c r="B85" s="23">
        <v>902</v>
      </c>
      <c r="C85" s="19" t="s">
        <v>9</v>
      </c>
      <c r="D85" s="19" t="s">
        <v>19</v>
      </c>
      <c r="E85" s="61" t="s">
        <v>230</v>
      </c>
      <c r="F85" s="59"/>
      <c r="G85" s="43">
        <f aca="true" t="shared" si="8" ref="G85:I86">G86</f>
        <v>3537263</v>
      </c>
      <c r="H85" s="43">
        <f t="shared" si="8"/>
        <v>3535727</v>
      </c>
      <c r="I85" s="43">
        <f t="shared" si="8"/>
        <v>3535727</v>
      </c>
    </row>
    <row r="86" spans="1:9" s="66" customFormat="1" ht="16.5">
      <c r="A86" s="41" t="s">
        <v>307</v>
      </c>
      <c r="B86" s="23">
        <v>902</v>
      </c>
      <c r="C86" s="61" t="s">
        <v>9</v>
      </c>
      <c r="D86" s="61" t="s">
        <v>19</v>
      </c>
      <c r="E86" s="18" t="s">
        <v>308</v>
      </c>
      <c r="F86" s="59"/>
      <c r="G86" s="43">
        <f t="shared" si="8"/>
        <v>3537263</v>
      </c>
      <c r="H86" s="43">
        <f t="shared" si="8"/>
        <v>3535727</v>
      </c>
      <c r="I86" s="43">
        <f t="shared" si="8"/>
        <v>3535727</v>
      </c>
    </row>
    <row r="87" spans="1:9" s="66" customFormat="1" ht="33">
      <c r="A87" s="41" t="s">
        <v>136</v>
      </c>
      <c r="B87" s="23">
        <v>902</v>
      </c>
      <c r="C87" s="61" t="s">
        <v>9</v>
      </c>
      <c r="D87" s="61" t="s">
        <v>19</v>
      </c>
      <c r="E87" s="18" t="s">
        <v>310</v>
      </c>
      <c r="F87" s="59"/>
      <c r="G87" s="43">
        <f>G88+G89</f>
        <v>3537263</v>
      </c>
      <c r="H87" s="43">
        <f>H88+H89</f>
        <v>3535727</v>
      </c>
      <c r="I87" s="43">
        <f>I88+I89</f>
        <v>3535727</v>
      </c>
    </row>
    <row r="88" spans="1:9" s="66" customFormat="1" ht="33">
      <c r="A88" s="41" t="s">
        <v>127</v>
      </c>
      <c r="B88" s="23">
        <v>902</v>
      </c>
      <c r="C88" s="61" t="s">
        <v>9</v>
      </c>
      <c r="D88" s="61" t="s">
        <v>19</v>
      </c>
      <c r="E88" s="18" t="s">
        <v>310</v>
      </c>
      <c r="F88" s="59">
        <v>120</v>
      </c>
      <c r="G88" s="43">
        <v>3527200</v>
      </c>
      <c r="H88" s="43">
        <v>3527200</v>
      </c>
      <c r="I88" s="43">
        <v>3527200</v>
      </c>
    </row>
    <row r="89" spans="1:9" s="66" customFormat="1" ht="33">
      <c r="A89" s="41" t="s">
        <v>130</v>
      </c>
      <c r="B89" s="23">
        <v>902</v>
      </c>
      <c r="C89" s="61" t="s">
        <v>9</v>
      </c>
      <c r="D89" s="61" t="s">
        <v>19</v>
      </c>
      <c r="E89" s="18" t="s">
        <v>310</v>
      </c>
      <c r="F89" s="59">
        <v>240</v>
      </c>
      <c r="G89" s="43">
        <f>12800-2737</f>
        <v>10063</v>
      </c>
      <c r="H89" s="43">
        <f>12800-4273</f>
        <v>8527</v>
      </c>
      <c r="I89" s="43">
        <f>12800-4273</f>
        <v>8527</v>
      </c>
    </row>
    <row r="90" spans="1:9" s="66" customFormat="1" ht="16.5">
      <c r="A90" s="41" t="s">
        <v>1125</v>
      </c>
      <c r="B90" s="23">
        <v>902</v>
      </c>
      <c r="C90" s="19" t="s">
        <v>9</v>
      </c>
      <c r="D90" s="19" t="s">
        <v>19</v>
      </c>
      <c r="E90" s="61" t="s">
        <v>221</v>
      </c>
      <c r="F90" s="59"/>
      <c r="G90" s="43">
        <f>G91</f>
        <v>280800</v>
      </c>
      <c r="H90" s="43">
        <f aca="true" t="shared" si="9" ref="H90:I93">H91</f>
        <v>0</v>
      </c>
      <c r="I90" s="43">
        <f t="shared" si="9"/>
        <v>0</v>
      </c>
    </row>
    <row r="91" spans="1:9" s="66" customFormat="1" ht="16.5">
      <c r="A91" s="40" t="s">
        <v>506</v>
      </c>
      <c r="B91" s="23">
        <v>902</v>
      </c>
      <c r="C91" s="19" t="s">
        <v>9</v>
      </c>
      <c r="D91" s="19" t="s">
        <v>19</v>
      </c>
      <c r="E91" s="18" t="s">
        <v>265</v>
      </c>
      <c r="F91" s="59"/>
      <c r="G91" s="43">
        <f>G92</f>
        <v>280800</v>
      </c>
      <c r="H91" s="43">
        <f t="shared" si="9"/>
        <v>0</v>
      </c>
      <c r="I91" s="43">
        <f t="shared" si="9"/>
        <v>0</v>
      </c>
    </row>
    <row r="92" spans="1:9" s="66" customFormat="1" ht="16.5">
      <c r="A92" s="71" t="s">
        <v>357</v>
      </c>
      <c r="B92" s="23">
        <v>902</v>
      </c>
      <c r="C92" s="61" t="s">
        <v>9</v>
      </c>
      <c r="D92" s="61" t="s">
        <v>19</v>
      </c>
      <c r="E92" s="18" t="s">
        <v>358</v>
      </c>
      <c r="F92" s="59"/>
      <c r="G92" s="43">
        <f>G93</f>
        <v>280800</v>
      </c>
      <c r="H92" s="43">
        <f t="shared" si="9"/>
        <v>0</v>
      </c>
      <c r="I92" s="43">
        <f t="shared" si="9"/>
        <v>0</v>
      </c>
    </row>
    <row r="93" spans="1:9" s="66" customFormat="1" ht="33">
      <c r="A93" s="40" t="s">
        <v>139</v>
      </c>
      <c r="B93" s="23">
        <v>902</v>
      </c>
      <c r="C93" s="61" t="s">
        <v>9</v>
      </c>
      <c r="D93" s="61" t="s">
        <v>19</v>
      </c>
      <c r="E93" s="18" t="s">
        <v>359</v>
      </c>
      <c r="F93" s="59"/>
      <c r="G93" s="43">
        <f>G94</f>
        <v>280800</v>
      </c>
      <c r="H93" s="43">
        <f t="shared" si="9"/>
        <v>0</v>
      </c>
      <c r="I93" s="43">
        <f t="shared" si="9"/>
        <v>0</v>
      </c>
    </row>
    <row r="94" spans="1:9" s="66" customFormat="1" ht="33">
      <c r="A94" s="41" t="s">
        <v>130</v>
      </c>
      <c r="B94" s="23">
        <v>902</v>
      </c>
      <c r="C94" s="61" t="s">
        <v>9</v>
      </c>
      <c r="D94" s="61" t="s">
        <v>19</v>
      </c>
      <c r="E94" s="18" t="s">
        <v>359</v>
      </c>
      <c r="F94" s="59">
        <v>240</v>
      </c>
      <c r="G94" s="43">
        <v>280800</v>
      </c>
      <c r="H94" s="43">
        <v>0</v>
      </c>
      <c r="I94" s="43">
        <v>0</v>
      </c>
    </row>
    <row r="95" spans="1:9" s="66" customFormat="1" ht="33">
      <c r="A95" s="41" t="s">
        <v>1126</v>
      </c>
      <c r="B95" s="23">
        <v>902</v>
      </c>
      <c r="C95" s="19" t="s">
        <v>9</v>
      </c>
      <c r="D95" s="19" t="s">
        <v>19</v>
      </c>
      <c r="E95" s="61" t="s">
        <v>222</v>
      </c>
      <c r="F95" s="59"/>
      <c r="G95" s="43">
        <f>G96+G100</f>
        <v>85000</v>
      </c>
      <c r="H95" s="43">
        <f>H96+H100</f>
        <v>85000</v>
      </c>
      <c r="I95" s="43">
        <f>I96+I100</f>
        <v>85000</v>
      </c>
    </row>
    <row r="96" spans="1:9" s="66" customFormat="1" ht="33">
      <c r="A96" s="41" t="s">
        <v>144</v>
      </c>
      <c r="B96" s="23">
        <v>902</v>
      </c>
      <c r="C96" s="19" t="s">
        <v>9</v>
      </c>
      <c r="D96" s="18" t="s">
        <v>19</v>
      </c>
      <c r="E96" s="18" t="s">
        <v>223</v>
      </c>
      <c r="F96" s="59"/>
      <c r="G96" s="43">
        <f>G97</f>
        <v>80000</v>
      </c>
      <c r="H96" s="43">
        <f aca="true" t="shared" si="10" ref="H96:I98">H97</f>
        <v>80000</v>
      </c>
      <c r="I96" s="43">
        <f t="shared" si="10"/>
        <v>80000</v>
      </c>
    </row>
    <row r="97" spans="1:9" s="66" customFormat="1" ht="16.5">
      <c r="A97" s="41" t="s">
        <v>406</v>
      </c>
      <c r="B97" s="23">
        <v>902</v>
      </c>
      <c r="C97" s="61" t="s">
        <v>9</v>
      </c>
      <c r="D97" s="61" t="s">
        <v>19</v>
      </c>
      <c r="E97" s="18" t="s">
        <v>225</v>
      </c>
      <c r="F97" s="59"/>
      <c r="G97" s="43">
        <f>G98</f>
        <v>80000</v>
      </c>
      <c r="H97" s="43">
        <f t="shared" si="10"/>
        <v>80000</v>
      </c>
      <c r="I97" s="43">
        <f t="shared" si="10"/>
        <v>80000</v>
      </c>
    </row>
    <row r="98" spans="1:9" s="66" customFormat="1" ht="33">
      <c r="A98" s="41" t="s">
        <v>145</v>
      </c>
      <c r="B98" s="23">
        <v>902</v>
      </c>
      <c r="C98" s="61" t="s">
        <v>9</v>
      </c>
      <c r="D98" s="61" t="s">
        <v>19</v>
      </c>
      <c r="E98" s="18" t="s">
        <v>224</v>
      </c>
      <c r="F98" s="59"/>
      <c r="G98" s="43">
        <f>G99</f>
        <v>80000</v>
      </c>
      <c r="H98" s="43">
        <f t="shared" si="10"/>
        <v>80000</v>
      </c>
      <c r="I98" s="43">
        <f t="shared" si="10"/>
        <v>80000</v>
      </c>
    </row>
    <row r="99" spans="1:9" s="66" customFormat="1" ht="33">
      <c r="A99" s="41" t="s">
        <v>130</v>
      </c>
      <c r="B99" s="23">
        <v>902</v>
      </c>
      <c r="C99" s="61" t="s">
        <v>9</v>
      </c>
      <c r="D99" s="61" t="s">
        <v>19</v>
      </c>
      <c r="E99" s="18" t="s">
        <v>224</v>
      </c>
      <c r="F99" s="59">
        <v>240</v>
      </c>
      <c r="G99" s="43">
        <v>80000</v>
      </c>
      <c r="H99" s="43">
        <v>80000</v>
      </c>
      <c r="I99" s="43">
        <v>80000</v>
      </c>
    </row>
    <row r="100" spans="1:9" s="66" customFormat="1" ht="33">
      <c r="A100" s="41" t="s">
        <v>497</v>
      </c>
      <c r="B100" s="23">
        <v>902</v>
      </c>
      <c r="C100" s="19" t="s">
        <v>9</v>
      </c>
      <c r="D100" s="18" t="s">
        <v>19</v>
      </c>
      <c r="E100" s="18" t="s">
        <v>498</v>
      </c>
      <c r="F100" s="59"/>
      <c r="G100" s="43">
        <f>G101</f>
        <v>5000</v>
      </c>
      <c r="H100" s="43">
        <f aca="true" t="shared" si="11" ref="H100:I102">H101</f>
        <v>5000</v>
      </c>
      <c r="I100" s="43">
        <f t="shared" si="11"/>
        <v>5000</v>
      </c>
    </row>
    <row r="101" spans="1:9" s="66" customFormat="1" ht="16.5">
      <c r="A101" s="41" t="s">
        <v>500</v>
      </c>
      <c r="B101" s="23">
        <v>902</v>
      </c>
      <c r="C101" s="61" t="s">
        <v>9</v>
      </c>
      <c r="D101" s="61" t="s">
        <v>19</v>
      </c>
      <c r="E101" s="18" t="s">
        <v>499</v>
      </c>
      <c r="F101" s="59"/>
      <c r="G101" s="43">
        <f>G102</f>
        <v>5000</v>
      </c>
      <c r="H101" s="43">
        <f t="shared" si="11"/>
        <v>5000</v>
      </c>
      <c r="I101" s="43">
        <f t="shared" si="11"/>
        <v>5000</v>
      </c>
    </row>
    <row r="102" spans="1:9" s="66" customFormat="1" ht="16.5">
      <c r="A102" s="41" t="s">
        <v>501</v>
      </c>
      <c r="B102" s="23">
        <v>902</v>
      </c>
      <c r="C102" s="61" t="s">
        <v>9</v>
      </c>
      <c r="D102" s="61" t="s">
        <v>19</v>
      </c>
      <c r="E102" s="18" t="s">
        <v>502</v>
      </c>
      <c r="F102" s="59"/>
      <c r="G102" s="43">
        <f>G103</f>
        <v>5000</v>
      </c>
      <c r="H102" s="43">
        <f t="shared" si="11"/>
        <v>5000</v>
      </c>
      <c r="I102" s="43">
        <f t="shared" si="11"/>
        <v>5000</v>
      </c>
    </row>
    <row r="103" spans="1:9" s="66" customFormat="1" ht="33">
      <c r="A103" s="41" t="s">
        <v>130</v>
      </c>
      <c r="B103" s="23">
        <v>902</v>
      </c>
      <c r="C103" s="61" t="s">
        <v>9</v>
      </c>
      <c r="D103" s="61" t="s">
        <v>19</v>
      </c>
      <c r="E103" s="18" t="s">
        <v>502</v>
      </c>
      <c r="F103" s="59">
        <v>240</v>
      </c>
      <c r="G103" s="43">
        <v>5000</v>
      </c>
      <c r="H103" s="43">
        <v>5000</v>
      </c>
      <c r="I103" s="43">
        <v>5000</v>
      </c>
    </row>
    <row r="104" spans="1:9" s="66" customFormat="1" ht="33">
      <c r="A104" s="40" t="s">
        <v>1127</v>
      </c>
      <c r="B104" s="23">
        <v>902</v>
      </c>
      <c r="C104" s="19" t="s">
        <v>9</v>
      </c>
      <c r="D104" s="19" t="s">
        <v>19</v>
      </c>
      <c r="E104" s="61" t="s">
        <v>235</v>
      </c>
      <c r="F104" s="59"/>
      <c r="G104" s="43">
        <f aca="true" t="shared" si="12" ref="G104:I105">G105</f>
        <v>7432000</v>
      </c>
      <c r="H104" s="43">
        <f t="shared" si="12"/>
        <v>7432000</v>
      </c>
      <c r="I104" s="43">
        <f t="shared" si="12"/>
        <v>7432000</v>
      </c>
    </row>
    <row r="105" spans="1:9" s="66" customFormat="1" ht="16.5">
      <c r="A105" s="77" t="s">
        <v>324</v>
      </c>
      <c r="B105" s="23">
        <v>902</v>
      </c>
      <c r="C105" s="61" t="s">
        <v>9</v>
      </c>
      <c r="D105" s="61" t="s">
        <v>19</v>
      </c>
      <c r="E105" s="61" t="s">
        <v>469</v>
      </c>
      <c r="F105" s="65"/>
      <c r="G105" s="42">
        <f t="shared" si="12"/>
        <v>7432000</v>
      </c>
      <c r="H105" s="42">
        <f t="shared" si="12"/>
        <v>7432000</v>
      </c>
      <c r="I105" s="42">
        <f t="shared" si="12"/>
        <v>7432000</v>
      </c>
    </row>
    <row r="106" spans="1:9" s="66" customFormat="1" ht="49.5">
      <c r="A106" s="77" t="s">
        <v>207</v>
      </c>
      <c r="B106" s="23">
        <v>902</v>
      </c>
      <c r="C106" s="61" t="s">
        <v>9</v>
      </c>
      <c r="D106" s="61" t="s">
        <v>19</v>
      </c>
      <c r="E106" s="61" t="s">
        <v>1225</v>
      </c>
      <c r="F106" s="65"/>
      <c r="G106" s="42">
        <f>G107+G108+G109</f>
        <v>7432000</v>
      </c>
      <c r="H106" s="42">
        <f>H107+H108+H109</f>
        <v>7432000</v>
      </c>
      <c r="I106" s="42">
        <f>I107+I108+I109</f>
        <v>7432000</v>
      </c>
    </row>
    <row r="107" spans="1:9" s="66" customFormat="1" ht="16.5">
      <c r="A107" s="95" t="s">
        <v>137</v>
      </c>
      <c r="B107" s="23">
        <v>902</v>
      </c>
      <c r="C107" s="61" t="s">
        <v>9</v>
      </c>
      <c r="D107" s="61" t="s">
        <v>19</v>
      </c>
      <c r="E107" s="61" t="s">
        <v>1225</v>
      </c>
      <c r="F107" s="59">
        <v>110</v>
      </c>
      <c r="G107" s="42">
        <v>6841200</v>
      </c>
      <c r="H107" s="42">
        <v>6841200</v>
      </c>
      <c r="I107" s="42">
        <v>6841200</v>
      </c>
    </row>
    <row r="108" spans="1:9" s="66" customFormat="1" ht="33">
      <c r="A108" s="41" t="s">
        <v>130</v>
      </c>
      <c r="B108" s="23">
        <v>902</v>
      </c>
      <c r="C108" s="61" t="s">
        <v>9</v>
      </c>
      <c r="D108" s="61" t="s">
        <v>19</v>
      </c>
      <c r="E108" s="61" t="s">
        <v>1225</v>
      </c>
      <c r="F108" s="59">
        <v>240</v>
      </c>
      <c r="G108" s="42">
        <v>579800</v>
      </c>
      <c r="H108" s="42">
        <v>579800</v>
      </c>
      <c r="I108" s="42">
        <v>579800</v>
      </c>
    </row>
    <row r="109" spans="1:9" s="66" customFormat="1" ht="16.5">
      <c r="A109" s="41" t="s">
        <v>132</v>
      </c>
      <c r="B109" s="23">
        <v>902</v>
      </c>
      <c r="C109" s="61" t="s">
        <v>9</v>
      </c>
      <c r="D109" s="61" t="s">
        <v>19</v>
      </c>
      <c r="E109" s="61" t="s">
        <v>1225</v>
      </c>
      <c r="F109" s="59">
        <v>850</v>
      </c>
      <c r="G109" s="42">
        <v>11000</v>
      </c>
      <c r="H109" s="42">
        <v>11000</v>
      </c>
      <c r="I109" s="42">
        <v>11000</v>
      </c>
    </row>
    <row r="110" spans="1:9" ht="49.5">
      <c r="A110" s="41" t="s">
        <v>201</v>
      </c>
      <c r="B110" s="23">
        <v>902</v>
      </c>
      <c r="C110" s="19" t="s">
        <v>9</v>
      </c>
      <c r="D110" s="19" t="s">
        <v>19</v>
      </c>
      <c r="E110" s="61" t="s">
        <v>210</v>
      </c>
      <c r="F110" s="18"/>
      <c r="G110" s="42">
        <f>G111</f>
        <v>867653</v>
      </c>
      <c r="H110" s="42">
        <f>H111</f>
        <v>195500</v>
      </c>
      <c r="I110" s="42">
        <f>I111</f>
        <v>195500</v>
      </c>
    </row>
    <row r="111" spans="1:9" ht="16.5">
      <c r="A111" s="41" t="s">
        <v>46</v>
      </c>
      <c r="B111" s="23">
        <v>902</v>
      </c>
      <c r="C111" s="18" t="s">
        <v>9</v>
      </c>
      <c r="D111" s="18" t="s">
        <v>19</v>
      </c>
      <c r="E111" s="18" t="s">
        <v>226</v>
      </c>
      <c r="F111" s="59"/>
      <c r="G111" s="42">
        <f>G112+G116</f>
        <v>867653</v>
      </c>
      <c r="H111" s="42">
        <f>H112+H116</f>
        <v>195500</v>
      </c>
      <c r="I111" s="42">
        <f>I112+I116</f>
        <v>195500</v>
      </c>
    </row>
    <row r="112" spans="1:9" ht="16.5">
      <c r="A112" s="95" t="s">
        <v>180</v>
      </c>
      <c r="B112" s="23">
        <v>902</v>
      </c>
      <c r="C112" s="18" t="s">
        <v>9</v>
      </c>
      <c r="D112" s="18" t="s">
        <v>19</v>
      </c>
      <c r="E112" s="18" t="s">
        <v>227</v>
      </c>
      <c r="F112" s="18"/>
      <c r="G112" s="42">
        <f>G113+G114+G115</f>
        <v>252653</v>
      </c>
      <c r="H112" s="42">
        <f>H113+H114+H115</f>
        <v>195500</v>
      </c>
      <c r="I112" s="42">
        <f>I113+I114+I115</f>
        <v>195500</v>
      </c>
    </row>
    <row r="113" spans="1:9" ht="33">
      <c r="A113" s="41" t="s">
        <v>130</v>
      </c>
      <c r="B113" s="23">
        <v>902</v>
      </c>
      <c r="C113" s="18" t="s">
        <v>9</v>
      </c>
      <c r="D113" s="18" t="s">
        <v>19</v>
      </c>
      <c r="E113" s="18" t="s">
        <v>227</v>
      </c>
      <c r="F113" s="18" t="s">
        <v>131</v>
      </c>
      <c r="G113" s="42">
        <v>61500</v>
      </c>
      <c r="H113" s="42">
        <v>61500</v>
      </c>
      <c r="I113" s="42">
        <v>61500</v>
      </c>
    </row>
    <row r="114" spans="1:9" ht="16.5">
      <c r="A114" s="95" t="s">
        <v>194</v>
      </c>
      <c r="B114" s="23">
        <v>902</v>
      </c>
      <c r="C114" s="18" t="s">
        <v>9</v>
      </c>
      <c r="D114" s="18" t="s">
        <v>19</v>
      </c>
      <c r="E114" s="18" t="s">
        <v>227</v>
      </c>
      <c r="F114" s="18" t="s">
        <v>193</v>
      </c>
      <c r="G114" s="42">
        <f>50000+57153</f>
        <v>107153</v>
      </c>
      <c r="H114" s="42">
        <v>50000</v>
      </c>
      <c r="I114" s="42">
        <v>50000</v>
      </c>
    </row>
    <row r="115" spans="1:9" ht="16.5">
      <c r="A115" s="95" t="s">
        <v>132</v>
      </c>
      <c r="B115" s="23">
        <v>902</v>
      </c>
      <c r="C115" s="18" t="s">
        <v>9</v>
      </c>
      <c r="D115" s="18" t="s">
        <v>19</v>
      </c>
      <c r="E115" s="18" t="s">
        <v>227</v>
      </c>
      <c r="F115" s="18" t="s">
        <v>133</v>
      </c>
      <c r="G115" s="42">
        <v>84000</v>
      </c>
      <c r="H115" s="42">
        <v>84000</v>
      </c>
      <c r="I115" s="42">
        <v>84000</v>
      </c>
    </row>
    <row r="116" spans="1:9" ht="16.5">
      <c r="A116" s="95" t="s">
        <v>1290</v>
      </c>
      <c r="B116" s="23">
        <v>902</v>
      </c>
      <c r="C116" s="18" t="s">
        <v>9</v>
      </c>
      <c r="D116" s="18" t="s">
        <v>19</v>
      </c>
      <c r="E116" s="18" t="s">
        <v>1291</v>
      </c>
      <c r="F116" s="18"/>
      <c r="G116" s="42">
        <f>G117</f>
        <v>615000</v>
      </c>
      <c r="H116" s="42">
        <f>H117</f>
        <v>0</v>
      </c>
      <c r="I116" s="42">
        <f>I117</f>
        <v>0</v>
      </c>
    </row>
    <row r="117" spans="1:9" ht="33">
      <c r="A117" s="41" t="s">
        <v>130</v>
      </c>
      <c r="B117" s="23">
        <v>902</v>
      </c>
      <c r="C117" s="18" t="s">
        <v>9</v>
      </c>
      <c r="D117" s="18" t="s">
        <v>19</v>
      </c>
      <c r="E117" s="18" t="s">
        <v>1291</v>
      </c>
      <c r="F117" s="18" t="s">
        <v>131</v>
      </c>
      <c r="G117" s="42">
        <v>615000</v>
      </c>
      <c r="H117" s="42">
        <v>0</v>
      </c>
      <c r="I117" s="42">
        <v>0</v>
      </c>
    </row>
    <row r="118" spans="1:9" ht="16.5">
      <c r="A118" s="41" t="s">
        <v>36</v>
      </c>
      <c r="B118" s="23">
        <v>902</v>
      </c>
      <c r="C118" s="18" t="s">
        <v>18</v>
      </c>
      <c r="D118" s="18"/>
      <c r="E118" s="18"/>
      <c r="F118" s="18"/>
      <c r="G118" s="43">
        <f>G119+G126</f>
        <v>329737</v>
      </c>
      <c r="H118" s="43">
        <f>H119+H126</f>
        <v>483273</v>
      </c>
      <c r="I118" s="43">
        <f>I119+I126</f>
        <v>483273</v>
      </c>
    </row>
    <row r="119" spans="1:9" ht="16.5">
      <c r="A119" s="41" t="s">
        <v>37</v>
      </c>
      <c r="B119" s="23">
        <v>902</v>
      </c>
      <c r="C119" s="19" t="s">
        <v>18</v>
      </c>
      <c r="D119" s="19" t="s">
        <v>14</v>
      </c>
      <c r="E119" s="18"/>
      <c r="F119" s="18"/>
      <c r="G119" s="42">
        <f>G120</f>
        <v>16000</v>
      </c>
      <c r="H119" s="42">
        <f>H120</f>
        <v>16000</v>
      </c>
      <c r="I119" s="42">
        <f>I120</f>
        <v>16000</v>
      </c>
    </row>
    <row r="120" spans="1:9" s="66" customFormat="1" ht="33">
      <c r="A120" s="41" t="s">
        <v>1126</v>
      </c>
      <c r="B120" s="23">
        <v>902</v>
      </c>
      <c r="C120" s="19" t="s">
        <v>18</v>
      </c>
      <c r="D120" s="19" t="s">
        <v>14</v>
      </c>
      <c r="E120" s="61" t="s">
        <v>222</v>
      </c>
      <c r="F120" s="59"/>
      <c r="G120" s="43">
        <f>G121</f>
        <v>16000</v>
      </c>
      <c r="H120" s="43">
        <f aca="true" t="shared" si="13" ref="H120:I122">H121</f>
        <v>16000</v>
      </c>
      <c r="I120" s="43">
        <f t="shared" si="13"/>
        <v>16000</v>
      </c>
    </row>
    <row r="121" spans="1:9" s="66" customFormat="1" ht="33">
      <c r="A121" s="79" t="s">
        <v>140</v>
      </c>
      <c r="B121" s="23">
        <v>902</v>
      </c>
      <c r="C121" s="19" t="s">
        <v>18</v>
      </c>
      <c r="D121" s="19" t="s">
        <v>14</v>
      </c>
      <c r="E121" s="18" t="s">
        <v>228</v>
      </c>
      <c r="F121" s="59"/>
      <c r="G121" s="43">
        <f>G122</f>
        <v>16000</v>
      </c>
      <c r="H121" s="43">
        <f t="shared" si="13"/>
        <v>16000</v>
      </c>
      <c r="I121" s="43">
        <f t="shared" si="13"/>
        <v>16000</v>
      </c>
    </row>
    <row r="122" spans="1:9" s="66" customFormat="1" ht="16.5">
      <c r="A122" s="79" t="s">
        <v>399</v>
      </c>
      <c r="B122" s="23">
        <v>902</v>
      </c>
      <c r="C122" s="19" t="s">
        <v>18</v>
      </c>
      <c r="D122" s="19" t="s">
        <v>14</v>
      </c>
      <c r="E122" s="18" t="s">
        <v>229</v>
      </c>
      <c r="F122" s="59"/>
      <c r="G122" s="43">
        <f>G123</f>
        <v>16000</v>
      </c>
      <c r="H122" s="43">
        <f t="shared" si="13"/>
        <v>16000</v>
      </c>
      <c r="I122" s="43">
        <f t="shared" si="13"/>
        <v>16000</v>
      </c>
    </row>
    <row r="123" spans="1:9" s="66" customFormat="1" ht="33">
      <c r="A123" s="79" t="s">
        <v>400</v>
      </c>
      <c r="B123" s="23">
        <v>902</v>
      </c>
      <c r="C123" s="19" t="s">
        <v>18</v>
      </c>
      <c r="D123" s="19" t="s">
        <v>14</v>
      </c>
      <c r="E123" s="18" t="s">
        <v>401</v>
      </c>
      <c r="F123" s="59"/>
      <c r="G123" s="43">
        <f>G124+G125</f>
        <v>16000</v>
      </c>
      <c r="H123" s="43">
        <f>H124+H125</f>
        <v>16000</v>
      </c>
      <c r="I123" s="43">
        <f>I124+I125</f>
        <v>16000</v>
      </c>
    </row>
    <row r="124" spans="1:9" s="66" customFormat="1" ht="33">
      <c r="A124" s="41" t="s">
        <v>130</v>
      </c>
      <c r="B124" s="23">
        <v>902</v>
      </c>
      <c r="C124" s="19" t="s">
        <v>18</v>
      </c>
      <c r="D124" s="19" t="s">
        <v>14</v>
      </c>
      <c r="E124" s="18" t="s">
        <v>401</v>
      </c>
      <c r="F124" s="59">
        <v>240</v>
      </c>
      <c r="G124" s="43">
        <v>10000</v>
      </c>
      <c r="H124" s="43">
        <v>10000</v>
      </c>
      <c r="I124" s="43">
        <v>10000</v>
      </c>
    </row>
    <row r="125" spans="1:9" s="66" customFormat="1" ht="16.5">
      <c r="A125" s="95" t="s">
        <v>132</v>
      </c>
      <c r="B125" s="23">
        <v>902</v>
      </c>
      <c r="C125" s="19" t="s">
        <v>18</v>
      </c>
      <c r="D125" s="19" t="s">
        <v>14</v>
      </c>
      <c r="E125" s="18" t="s">
        <v>401</v>
      </c>
      <c r="F125" s="18" t="s">
        <v>133</v>
      </c>
      <c r="G125" s="43">
        <v>6000</v>
      </c>
      <c r="H125" s="43">
        <v>6000</v>
      </c>
      <c r="I125" s="43">
        <v>6000</v>
      </c>
    </row>
    <row r="126" spans="1:9" ht="33">
      <c r="A126" s="41" t="s">
        <v>70</v>
      </c>
      <c r="B126" s="23">
        <v>902</v>
      </c>
      <c r="C126" s="19" t="s">
        <v>18</v>
      </c>
      <c r="D126" s="19" t="s">
        <v>10</v>
      </c>
      <c r="E126" s="19"/>
      <c r="F126" s="19"/>
      <c r="G126" s="42">
        <f>G127</f>
        <v>313737</v>
      </c>
      <c r="H126" s="42">
        <f>H127</f>
        <v>467273</v>
      </c>
      <c r="I126" s="42">
        <f>I127</f>
        <v>467273</v>
      </c>
    </row>
    <row r="127" spans="1:9" s="66" customFormat="1" ht="49.5">
      <c r="A127" s="41" t="s">
        <v>1124</v>
      </c>
      <c r="B127" s="23">
        <v>902</v>
      </c>
      <c r="C127" s="19" t="s">
        <v>18</v>
      </c>
      <c r="D127" s="19" t="s">
        <v>10</v>
      </c>
      <c r="E127" s="61" t="s">
        <v>230</v>
      </c>
      <c r="F127" s="59"/>
      <c r="G127" s="43">
        <f aca="true" t="shared" si="14" ref="G127:I129">G128</f>
        <v>313737</v>
      </c>
      <c r="H127" s="43">
        <f t="shared" si="14"/>
        <v>467273</v>
      </c>
      <c r="I127" s="43">
        <f t="shared" si="14"/>
        <v>467273</v>
      </c>
    </row>
    <row r="128" spans="1:9" s="66" customFormat="1" ht="16.5">
      <c r="A128" s="41" t="s">
        <v>307</v>
      </c>
      <c r="B128" s="23">
        <v>902</v>
      </c>
      <c r="C128" s="19" t="s">
        <v>18</v>
      </c>
      <c r="D128" s="19" t="s">
        <v>10</v>
      </c>
      <c r="E128" s="18" t="s">
        <v>308</v>
      </c>
      <c r="F128" s="59"/>
      <c r="G128" s="43">
        <f>G129+G131+G133</f>
        <v>313737</v>
      </c>
      <c r="H128" s="43">
        <f>H129+H131+H133</f>
        <v>467273</v>
      </c>
      <c r="I128" s="43">
        <f>I129+I131+I133</f>
        <v>467273</v>
      </c>
    </row>
    <row r="129" spans="1:9" s="66" customFormat="1" ht="49.5">
      <c r="A129" s="41" t="s">
        <v>138</v>
      </c>
      <c r="B129" s="23">
        <v>902</v>
      </c>
      <c r="C129" s="19" t="s">
        <v>18</v>
      </c>
      <c r="D129" s="19" t="s">
        <v>10</v>
      </c>
      <c r="E129" s="18" t="s">
        <v>309</v>
      </c>
      <c r="F129" s="59"/>
      <c r="G129" s="43">
        <f t="shared" si="14"/>
        <v>40000</v>
      </c>
      <c r="H129" s="43">
        <f t="shared" si="14"/>
        <v>40000</v>
      </c>
      <c r="I129" s="43">
        <f t="shared" si="14"/>
        <v>40000</v>
      </c>
    </row>
    <row r="130" spans="1:9" s="66" customFormat="1" ht="33">
      <c r="A130" s="41" t="s">
        <v>130</v>
      </c>
      <c r="B130" s="23">
        <v>902</v>
      </c>
      <c r="C130" s="19" t="s">
        <v>18</v>
      </c>
      <c r="D130" s="19" t="s">
        <v>10</v>
      </c>
      <c r="E130" s="18" t="s">
        <v>309</v>
      </c>
      <c r="F130" s="59">
        <v>240</v>
      </c>
      <c r="G130" s="43">
        <v>40000</v>
      </c>
      <c r="H130" s="43">
        <v>40000</v>
      </c>
      <c r="I130" s="43">
        <v>40000</v>
      </c>
    </row>
    <row r="131" spans="1:9" s="66" customFormat="1" ht="33">
      <c r="A131" s="41" t="s">
        <v>1292</v>
      </c>
      <c r="B131" s="23">
        <v>902</v>
      </c>
      <c r="C131" s="19" t="s">
        <v>18</v>
      </c>
      <c r="D131" s="19" t="s">
        <v>10</v>
      </c>
      <c r="E131" s="18" t="s">
        <v>1293</v>
      </c>
      <c r="F131" s="59"/>
      <c r="G131" s="43">
        <f aca="true" t="shared" si="15" ref="G131:I133">G132</f>
        <v>271000</v>
      </c>
      <c r="H131" s="43">
        <f t="shared" si="15"/>
        <v>423000</v>
      </c>
      <c r="I131" s="43">
        <f t="shared" si="15"/>
        <v>423000</v>
      </c>
    </row>
    <row r="132" spans="1:9" s="66" customFormat="1" ht="33">
      <c r="A132" s="41" t="s">
        <v>130</v>
      </c>
      <c r="B132" s="23">
        <v>902</v>
      </c>
      <c r="C132" s="19" t="s">
        <v>18</v>
      </c>
      <c r="D132" s="19" t="s">
        <v>10</v>
      </c>
      <c r="E132" s="18" t="s">
        <v>1293</v>
      </c>
      <c r="F132" s="59">
        <v>240</v>
      </c>
      <c r="G132" s="43">
        <v>271000</v>
      </c>
      <c r="H132" s="43">
        <v>423000</v>
      </c>
      <c r="I132" s="43">
        <v>423000</v>
      </c>
    </row>
    <row r="133" spans="1:9" s="66" customFormat="1" ht="33">
      <c r="A133" s="41" t="s">
        <v>1294</v>
      </c>
      <c r="B133" s="23">
        <v>902</v>
      </c>
      <c r="C133" s="19" t="s">
        <v>18</v>
      </c>
      <c r="D133" s="19" t="s">
        <v>10</v>
      </c>
      <c r="E133" s="18" t="s">
        <v>1295</v>
      </c>
      <c r="F133" s="59"/>
      <c r="G133" s="43">
        <f t="shared" si="15"/>
        <v>2737</v>
      </c>
      <c r="H133" s="43">
        <f t="shared" si="15"/>
        <v>4273</v>
      </c>
      <c r="I133" s="43">
        <f t="shared" si="15"/>
        <v>4273</v>
      </c>
    </row>
    <row r="134" spans="1:9" s="66" customFormat="1" ht="33">
      <c r="A134" s="41" t="s">
        <v>130</v>
      </c>
      <c r="B134" s="23">
        <v>902</v>
      </c>
      <c r="C134" s="19" t="s">
        <v>18</v>
      </c>
      <c r="D134" s="19" t="s">
        <v>10</v>
      </c>
      <c r="E134" s="18" t="s">
        <v>1295</v>
      </c>
      <c r="F134" s="59">
        <v>240</v>
      </c>
      <c r="G134" s="43">
        <v>2737</v>
      </c>
      <c r="H134" s="43">
        <v>4273</v>
      </c>
      <c r="I134" s="43">
        <v>4273</v>
      </c>
    </row>
    <row r="135" spans="1:9" ht="16.5">
      <c r="A135" s="41" t="s">
        <v>47</v>
      </c>
      <c r="B135" s="23">
        <v>902</v>
      </c>
      <c r="C135" s="18" t="s">
        <v>12</v>
      </c>
      <c r="D135" s="18"/>
      <c r="E135" s="18"/>
      <c r="F135" s="18"/>
      <c r="G135" s="43">
        <f>G136</f>
        <v>96000</v>
      </c>
      <c r="H135" s="43">
        <f>H136</f>
        <v>98000</v>
      </c>
      <c r="I135" s="43">
        <f>I136</f>
        <v>100000</v>
      </c>
    </row>
    <row r="136" spans="1:9" ht="16.5">
      <c r="A136" s="41" t="s">
        <v>20</v>
      </c>
      <c r="B136" s="23">
        <v>902</v>
      </c>
      <c r="C136" s="18" t="s">
        <v>12</v>
      </c>
      <c r="D136" s="18" t="s">
        <v>35</v>
      </c>
      <c r="E136" s="18"/>
      <c r="F136" s="18"/>
      <c r="G136" s="43">
        <f>G137+G141</f>
        <v>96000</v>
      </c>
      <c r="H136" s="43">
        <f>H137+H141</f>
        <v>98000</v>
      </c>
      <c r="I136" s="43">
        <f>I137+I141</f>
        <v>100000</v>
      </c>
    </row>
    <row r="137" spans="1:9" s="66" customFormat="1" ht="33">
      <c r="A137" s="41" t="s">
        <v>1128</v>
      </c>
      <c r="B137" s="23">
        <v>902</v>
      </c>
      <c r="C137" s="18" t="s">
        <v>12</v>
      </c>
      <c r="D137" s="18" t="s">
        <v>35</v>
      </c>
      <c r="E137" s="61" t="s">
        <v>236</v>
      </c>
      <c r="F137" s="59"/>
      <c r="G137" s="43">
        <f aca="true" t="shared" si="16" ref="G137:I139">G138</f>
        <v>46000</v>
      </c>
      <c r="H137" s="43">
        <f t="shared" si="16"/>
        <v>48000</v>
      </c>
      <c r="I137" s="43">
        <f t="shared" si="16"/>
        <v>50000</v>
      </c>
    </row>
    <row r="138" spans="1:9" s="66" customFormat="1" ht="16.5">
      <c r="A138" s="41" t="s">
        <v>279</v>
      </c>
      <c r="B138" s="23">
        <v>902</v>
      </c>
      <c r="C138" s="18" t="s">
        <v>12</v>
      </c>
      <c r="D138" s="18" t="s">
        <v>35</v>
      </c>
      <c r="E138" s="61" t="s">
        <v>280</v>
      </c>
      <c r="F138" s="59"/>
      <c r="G138" s="43">
        <f t="shared" si="16"/>
        <v>46000</v>
      </c>
      <c r="H138" s="43">
        <f t="shared" si="16"/>
        <v>48000</v>
      </c>
      <c r="I138" s="43">
        <f t="shared" si="16"/>
        <v>50000</v>
      </c>
    </row>
    <row r="139" spans="1:9" s="66" customFormat="1" ht="33">
      <c r="A139" s="40" t="s">
        <v>242</v>
      </c>
      <c r="B139" s="23">
        <v>902</v>
      </c>
      <c r="C139" s="18" t="s">
        <v>12</v>
      </c>
      <c r="D139" s="18" t="s">
        <v>35</v>
      </c>
      <c r="E139" s="61" t="s">
        <v>281</v>
      </c>
      <c r="F139" s="59"/>
      <c r="G139" s="43">
        <f t="shared" si="16"/>
        <v>46000</v>
      </c>
      <c r="H139" s="43">
        <f t="shared" si="16"/>
        <v>48000</v>
      </c>
      <c r="I139" s="43">
        <f t="shared" si="16"/>
        <v>50000</v>
      </c>
    </row>
    <row r="140" spans="1:9" s="66" customFormat="1" ht="33">
      <c r="A140" s="41" t="s">
        <v>130</v>
      </c>
      <c r="B140" s="23">
        <v>902</v>
      </c>
      <c r="C140" s="18" t="s">
        <v>12</v>
      </c>
      <c r="D140" s="18" t="s">
        <v>35</v>
      </c>
      <c r="E140" s="61" t="s">
        <v>281</v>
      </c>
      <c r="F140" s="59">
        <v>240</v>
      </c>
      <c r="G140" s="43">
        <v>46000</v>
      </c>
      <c r="H140" s="43">
        <v>48000</v>
      </c>
      <c r="I140" s="43">
        <v>50000</v>
      </c>
    </row>
    <row r="141" spans="1:9" s="66" customFormat="1" ht="33">
      <c r="A141" s="41" t="s">
        <v>417</v>
      </c>
      <c r="B141" s="23">
        <v>902</v>
      </c>
      <c r="C141" s="18" t="s">
        <v>12</v>
      </c>
      <c r="D141" s="18" t="s">
        <v>35</v>
      </c>
      <c r="E141" s="61" t="s">
        <v>239</v>
      </c>
      <c r="F141" s="59"/>
      <c r="G141" s="43">
        <f aca="true" t="shared" si="17" ref="G141:I143">G142</f>
        <v>50000</v>
      </c>
      <c r="H141" s="43">
        <f t="shared" si="17"/>
        <v>50000</v>
      </c>
      <c r="I141" s="43">
        <f t="shared" si="17"/>
        <v>50000</v>
      </c>
    </row>
    <row r="142" spans="1:9" s="66" customFormat="1" ht="16.5">
      <c r="A142" s="41" t="s">
        <v>418</v>
      </c>
      <c r="B142" s="23">
        <v>902</v>
      </c>
      <c r="C142" s="18" t="s">
        <v>12</v>
      </c>
      <c r="D142" s="18" t="s">
        <v>35</v>
      </c>
      <c r="E142" s="18" t="s">
        <v>419</v>
      </c>
      <c r="F142" s="59"/>
      <c r="G142" s="43">
        <f t="shared" si="17"/>
        <v>50000</v>
      </c>
      <c r="H142" s="43">
        <f t="shared" si="17"/>
        <v>50000</v>
      </c>
      <c r="I142" s="43">
        <f t="shared" si="17"/>
        <v>50000</v>
      </c>
    </row>
    <row r="143" spans="1:9" s="66" customFormat="1" ht="33">
      <c r="A143" s="41" t="s">
        <v>143</v>
      </c>
      <c r="B143" s="23">
        <v>902</v>
      </c>
      <c r="C143" s="18" t="s">
        <v>12</v>
      </c>
      <c r="D143" s="18" t="s">
        <v>35</v>
      </c>
      <c r="E143" s="18" t="s">
        <v>421</v>
      </c>
      <c r="F143" s="59"/>
      <c r="G143" s="43">
        <f t="shared" si="17"/>
        <v>50000</v>
      </c>
      <c r="H143" s="43">
        <f t="shared" si="17"/>
        <v>50000</v>
      </c>
      <c r="I143" s="43">
        <f t="shared" si="17"/>
        <v>50000</v>
      </c>
    </row>
    <row r="144" spans="1:9" s="66" customFormat="1" ht="33">
      <c r="A144" s="41" t="s">
        <v>130</v>
      </c>
      <c r="B144" s="23">
        <v>902</v>
      </c>
      <c r="C144" s="18" t="s">
        <v>12</v>
      </c>
      <c r="D144" s="18" t="s">
        <v>35</v>
      </c>
      <c r="E144" s="18" t="s">
        <v>421</v>
      </c>
      <c r="F144" s="59">
        <v>240</v>
      </c>
      <c r="G144" s="43">
        <v>50000</v>
      </c>
      <c r="H144" s="43">
        <v>50000</v>
      </c>
      <c r="I144" s="43">
        <v>50000</v>
      </c>
    </row>
    <row r="145" spans="1:9" ht="16.5">
      <c r="A145" s="41" t="s">
        <v>28</v>
      </c>
      <c r="B145" s="23">
        <v>902</v>
      </c>
      <c r="C145" s="18" t="s">
        <v>8</v>
      </c>
      <c r="D145" s="18"/>
      <c r="E145" s="18"/>
      <c r="F145" s="18"/>
      <c r="G145" s="43">
        <f>G146</f>
        <v>51400</v>
      </c>
      <c r="H145" s="43">
        <f>H146</f>
        <v>55600</v>
      </c>
      <c r="I145" s="43">
        <f>I146</f>
        <v>55600</v>
      </c>
    </row>
    <row r="146" spans="1:9" ht="33">
      <c r="A146" s="96" t="s">
        <v>118</v>
      </c>
      <c r="B146" s="23">
        <v>902</v>
      </c>
      <c r="C146" s="18" t="s">
        <v>8</v>
      </c>
      <c r="D146" s="18" t="s">
        <v>13</v>
      </c>
      <c r="E146" s="18"/>
      <c r="F146" s="18"/>
      <c r="G146" s="43">
        <f aca="true" t="shared" si="18" ref="G146:I147">G147</f>
        <v>51400</v>
      </c>
      <c r="H146" s="43">
        <f t="shared" si="18"/>
        <v>55600</v>
      </c>
      <c r="I146" s="43">
        <f t="shared" si="18"/>
        <v>55600</v>
      </c>
    </row>
    <row r="147" spans="1:9" s="66" customFormat="1" ht="33">
      <c r="A147" s="40" t="s">
        <v>1127</v>
      </c>
      <c r="B147" s="23">
        <v>902</v>
      </c>
      <c r="C147" s="18" t="s">
        <v>8</v>
      </c>
      <c r="D147" s="18" t="s">
        <v>13</v>
      </c>
      <c r="E147" s="61" t="s">
        <v>235</v>
      </c>
      <c r="F147" s="59"/>
      <c r="G147" s="43">
        <f t="shared" si="18"/>
        <v>51400</v>
      </c>
      <c r="H147" s="43">
        <f t="shared" si="18"/>
        <v>55600</v>
      </c>
      <c r="I147" s="43">
        <f t="shared" si="18"/>
        <v>55600</v>
      </c>
    </row>
    <row r="148" spans="1:9" s="66" customFormat="1" ht="33">
      <c r="A148" s="74" t="s">
        <v>437</v>
      </c>
      <c r="B148" s="23">
        <v>902</v>
      </c>
      <c r="C148" s="18" t="s">
        <v>8</v>
      </c>
      <c r="D148" s="18" t="s">
        <v>13</v>
      </c>
      <c r="E148" s="61" t="s">
        <v>1231</v>
      </c>
      <c r="F148" s="65"/>
      <c r="G148" s="43">
        <f>G149+G151</f>
        <v>51400</v>
      </c>
      <c r="H148" s="43">
        <f>H149+H151</f>
        <v>55600</v>
      </c>
      <c r="I148" s="43">
        <f>I149+I151</f>
        <v>55600</v>
      </c>
    </row>
    <row r="149" spans="1:9" s="66" customFormat="1" ht="33">
      <c r="A149" s="74" t="s">
        <v>1297</v>
      </c>
      <c r="B149" s="23">
        <v>902</v>
      </c>
      <c r="C149" s="18" t="s">
        <v>8</v>
      </c>
      <c r="D149" s="18" t="s">
        <v>13</v>
      </c>
      <c r="E149" s="61" t="s">
        <v>1298</v>
      </c>
      <c r="F149" s="65"/>
      <c r="G149" s="43">
        <f>G150</f>
        <v>47400</v>
      </c>
      <c r="H149" s="43">
        <f>H150</f>
        <v>51600</v>
      </c>
      <c r="I149" s="43">
        <f>I150</f>
        <v>51600</v>
      </c>
    </row>
    <row r="150" spans="1:9" s="66" customFormat="1" ht="33">
      <c r="A150" s="41" t="s">
        <v>130</v>
      </c>
      <c r="B150" s="23">
        <v>902</v>
      </c>
      <c r="C150" s="18" t="s">
        <v>8</v>
      </c>
      <c r="D150" s="18" t="s">
        <v>13</v>
      </c>
      <c r="E150" s="61" t="s">
        <v>1298</v>
      </c>
      <c r="F150" s="65">
        <v>240</v>
      </c>
      <c r="G150" s="43">
        <v>47400</v>
      </c>
      <c r="H150" s="43">
        <v>51600</v>
      </c>
      <c r="I150" s="43">
        <v>51600</v>
      </c>
    </row>
    <row r="151" spans="1:9" s="66" customFormat="1" ht="33">
      <c r="A151" s="74" t="s">
        <v>1299</v>
      </c>
      <c r="B151" s="23">
        <v>902</v>
      </c>
      <c r="C151" s="18" t="s">
        <v>8</v>
      </c>
      <c r="D151" s="18" t="s">
        <v>13</v>
      </c>
      <c r="E151" s="61" t="s">
        <v>1296</v>
      </c>
      <c r="F151" s="65"/>
      <c r="G151" s="43">
        <f>G152</f>
        <v>4000</v>
      </c>
      <c r="H151" s="43">
        <f>H152</f>
        <v>4000</v>
      </c>
      <c r="I151" s="43">
        <f>I152</f>
        <v>4000</v>
      </c>
    </row>
    <row r="152" spans="1:9" s="66" customFormat="1" ht="33">
      <c r="A152" s="41" t="s">
        <v>130</v>
      </c>
      <c r="B152" s="23">
        <v>902</v>
      </c>
      <c r="C152" s="18" t="s">
        <v>8</v>
      </c>
      <c r="D152" s="18" t="s">
        <v>13</v>
      </c>
      <c r="E152" s="61" t="s">
        <v>1296</v>
      </c>
      <c r="F152" s="65">
        <v>240</v>
      </c>
      <c r="G152" s="43">
        <v>4000</v>
      </c>
      <c r="H152" s="43">
        <v>4000</v>
      </c>
      <c r="I152" s="43">
        <v>4000</v>
      </c>
    </row>
    <row r="153" spans="1:9" ht="16.5">
      <c r="A153" s="41" t="s">
        <v>1</v>
      </c>
      <c r="B153" s="23">
        <v>902</v>
      </c>
      <c r="C153" s="18" t="s">
        <v>16</v>
      </c>
      <c r="D153" s="18"/>
      <c r="E153" s="18"/>
      <c r="F153" s="18"/>
      <c r="G153" s="43">
        <f>G154+G160</f>
        <v>5390300</v>
      </c>
      <c r="H153" s="43">
        <f>H154+H160</f>
        <v>5400000</v>
      </c>
      <c r="I153" s="43">
        <f>I154+I160</f>
        <v>5380000</v>
      </c>
    </row>
    <row r="154" spans="1:9" s="99" customFormat="1" ht="16.5">
      <c r="A154" s="40" t="s">
        <v>44</v>
      </c>
      <c r="B154" s="59">
        <v>902</v>
      </c>
      <c r="C154" s="19" t="s">
        <v>16</v>
      </c>
      <c r="D154" s="18" t="s">
        <v>9</v>
      </c>
      <c r="E154" s="18"/>
      <c r="F154" s="18"/>
      <c r="G154" s="42">
        <f>G155</f>
        <v>5176500</v>
      </c>
      <c r="H154" s="42">
        <f>H155</f>
        <v>5180000</v>
      </c>
      <c r="I154" s="42">
        <f>I155</f>
        <v>5180000</v>
      </c>
    </row>
    <row r="155" spans="1:9" s="66" customFormat="1" ht="16.5">
      <c r="A155" s="41" t="s">
        <v>1129</v>
      </c>
      <c r="B155" s="59">
        <v>902</v>
      </c>
      <c r="C155" s="19" t="s">
        <v>16</v>
      </c>
      <c r="D155" s="18" t="s">
        <v>9</v>
      </c>
      <c r="E155" s="61" t="s">
        <v>255</v>
      </c>
      <c r="F155" s="59"/>
      <c r="G155" s="43">
        <f>G156</f>
        <v>5176500</v>
      </c>
      <c r="H155" s="43">
        <f aca="true" t="shared" si="19" ref="H155:I158">H156</f>
        <v>5180000</v>
      </c>
      <c r="I155" s="43">
        <f t="shared" si="19"/>
        <v>5180000</v>
      </c>
    </row>
    <row r="156" spans="1:9" s="66" customFormat="1" ht="33">
      <c r="A156" s="40" t="s">
        <v>507</v>
      </c>
      <c r="B156" s="59">
        <v>902</v>
      </c>
      <c r="C156" s="19" t="s">
        <v>16</v>
      </c>
      <c r="D156" s="18" t="s">
        <v>9</v>
      </c>
      <c r="E156" s="18" t="s">
        <v>273</v>
      </c>
      <c r="F156" s="59"/>
      <c r="G156" s="43">
        <f>G157</f>
        <v>5176500</v>
      </c>
      <c r="H156" s="43">
        <f t="shared" si="19"/>
        <v>5180000</v>
      </c>
      <c r="I156" s="43">
        <f t="shared" si="19"/>
        <v>5180000</v>
      </c>
    </row>
    <row r="157" spans="1:9" s="66" customFormat="1" ht="33">
      <c r="A157" s="40" t="s">
        <v>388</v>
      </c>
      <c r="B157" s="59">
        <v>902</v>
      </c>
      <c r="C157" s="19" t="s">
        <v>16</v>
      </c>
      <c r="D157" s="18" t="s">
        <v>9</v>
      </c>
      <c r="E157" s="18" t="s">
        <v>389</v>
      </c>
      <c r="F157" s="59"/>
      <c r="G157" s="43">
        <f>G158</f>
        <v>5176500</v>
      </c>
      <c r="H157" s="43">
        <f t="shared" si="19"/>
        <v>5180000</v>
      </c>
      <c r="I157" s="43">
        <f t="shared" si="19"/>
        <v>5180000</v>
      </c>
    </row>
    <row r="158" spans="1:9" s="66" customFormat="1" ht="16.5">
      <c r="A158" s="40" t="s">
        <v>390</v>
      </c>
      <c r="B158" s="59">
        <v>902</v>
      </c>
      <c r="C158" s="19" t="s">
        <v>16</v>
      </c>
      <c r="D158" s="18" t="s">
        <v>9</v>
      </c>
      <c r="E158" s="18" t="s">
        <v>391</v>
      </c>
      <c r="F158" s="59"/>
      <c r="G158" s="43">
        <f>G159</f>
        <v>5176500</v>
      </c>
      <c r="H158" s="43">
        <f t="shared" si="19"/>
        <v>5180000</v>
      </c>
      <c r="I158" s="43">
        <f t="shared" si="19"/>
        <v>5180000</v>
      </c>
    </row>
    <row r="159" spans="1:9" s="66" customFormat="1" ht="16.5">
      <c r="A159" s="41" t="s">
        <v>146</v>
      </c>
      <c r="B159" s="59">
        <v>902</v>
      </c>
      <c r="C159" s="19" t="s">
        <v>16</v>
      </c>
      <c r="D159" s="18" t="s">
        <v>9</v>
      </c>
      <c r="E159" s="18" t="s">
        <v>391</v>
      </c>
      <c r="F159" s="59">
        <v>310</v>
      </c>
      <c r="G159" s="43">
        <v>5176500</v>
      </c>
      <c r="H159" s="43">
        <v>5180000</v>
      </c>
      <c r="I159" s="43">
        <v>5180000</v>
      </c>
    </row>
    <row r="160" spans="1:9" ht="16.5">
      <c r="A160" s="41" t="s">
        <v>63</v>
      </c>
      <c r="B160" s="23">
        <v>902</v>
      </c>
      <c r="C160" s="18" t="s">
        <v>16</v>
      </c>
      <c r="D160" s="18" t="s">
        <v>18</v>
      </c>
      <c r="E160" s="18"/>
      <c r="F160" s="18"/>
      <c r="G160" s="43">
        <f>G161</f>
        <v>213800</v>
      </c>
      <c r="H160" s="43">
        <f>H161</f>
        <v>220000</v>
      </c>
      <c r="I160" s="43">
        <f>I161</f>
        <v>200000</v>
      </c>
    </row>
    <row r="161" spans="1:9" s="66" customFormat="1" ht="16.5">
      <c r="A161" s="41" t="s">
        <v>1129</v>
      </c>
      <c r="B161" s="59">
        <v>902</v>
      </c>
      <c r="C161" s="19" t="s">
        <v>16</v>
      </c>
      <c r="D161" s="18" t="s">
        <v>18</v>
      </c>
      <c r="E161" s="61" t="s">
        <v>255</v>
      </c>
      <c r="F161" s="59"/>
      <c r="G161" s="43">
        <f aca="true" t="shared" si="20" ref="G161:I162">G162</f>
        <v>213800</v>
      </c>
      <c r="H161" s="43">
        <f t="shared" si="20"/>
        <v>220000</v>
      </c>
      <c r="I161" s="43">
        <f t="shared" si="20"/>
        <v>200000</v>
      </c>
    </row>
    <row r="162" spans="1:9" s="66" customFormat="1" ht="33">
      <c r="A162" s="40" t="s">
        <v>507</v>
      </c>
      <c r="B162" s="59">
        <v>902</v>
      </c>
      <c r="C162" s="19" t="s">
        <v>16</v>
      </c>
      <c r="D162" s="18" t="s">
        <v>18</v>
      </c>
      <c r="E162" s="18" t="s">
        <v>276</v>
      </c>
      <c r="F162" s="59"/>
      <c r="G162" s="43">
        <f t="shared" si="20"/>
        <v>213800</v>
      </c>
      <c r="H162" s="43">
        <f t="shared" si="20"/>
        <v>220000</v>
      </c>
      <c r="I162" s="43">
        <f t="shared" si="20"/>
        <v>200000</v>
      </c>
    </row>
    <row r="163" spans="1:9" s="66" customFormat="1" ht="33">
      <c r="A163" s="40" t="s">
        <v>388</v>
      </c>
      <c r="B163" s="59">
        <v>902</v>
      </c>
      <c r="C163" s="19" t="s">
        <v>16</v>
      </c>
      <c r="D163" s="18" t="s">
        <v>18</v>
      </c>
      <c r="E163" s="18" t="s">
        <v>433</v>
      </c>
      <c r="F163" s="59"/>
      <c r="G163" s="43">
        <f>G164+G166</f>
        <v>213800</v>
      </c>
      <c r="H163" s="43">
        <f>H164+H166</f>
        <v>220000</v>
      </c>
      <c r="I163" s="43">
        <f>I164+I166</f>
        <v>200000</v>
      </c>
    </row>
    <row r="164" spans="1:9" s="66" customFormat="1" ht="33">
      <c r="A164" s="40" t="s">
        <v>148</v>
      </c>
      <c r="B164" s="59">
        <v>902</v>
      </c>
      <c r="C164" s="19" t="s">
        <v>16</v>
      </c>
      <c r="D164" s="18" t="s">
        <v>18</v>
      </c>
      <c r="E164" s="18" t="s">
        <v>1211</v>
      </c>
      <c r="F164" s="59"/>
      <c r="G164" s="43">
        <f>G165</f>
        <v>106900</v>
      </c>
      <c r="H164" s="43">
        <f>H165</f>
        <v>110000</v>
      </c>
      <c r="I164" s="43">
        <f>I165</f>
        <v>100000</v>
      </c>
    </row>
    <row r="165" spans="1:9" s="66" customFormat="1" ht="33">
      <c r="A165" s="41" t="s">
        <v>192</v>
      </c>
      <c r="B165" s="59">
        <v>902</v>
      </c>
      <c r="C165" s="19" t="s">
        <v>16</v>
      </c>
      <c r="D165" s="18" t="s">
        <v>18</v>
      </c>
      <c r="E165" s="18" t="s">
        <v>1211</v>
      </c>
      <c r="F165" s="59">
        <v>320</v>
      </c>
      <c r="G165" s="43">
        <v>106900</v>
      </c>
      <c r="H165" s="43">
        <v>110000</v>
      </c>
      <c r="I165" s="43">
        <f>115000-15000</f>
        <v>100000</v>
      </c>
    </row>
    <row r="166" spans="1:9" ht="49.5">
      <c r="A166" s="40" t="s">
        <v>110</v>
      </c>
      <c r="B166" s="59">
        <v>902</v>
      </c>
      <c r="C166" s="19" t="s">
        <v>16</v>
      </c>
      <c r="D166" s="18" t="s">
        <v>18</v>
      </c>
      <c r="E166" s="18" t="s">
        <v>1210</v>
      </c>
      <c r="F166" s="59"/>
      <c r="G166" s="42">
        <f>G167</f>
        <v>106900</v>
      </c>
      <c r="H166" s="42">
        <f>H167</f>
        <v>110000</v>
      </c>
      <c r="I166" s="42">
        <f>I167</f>
        <v>100000</v>
      </c>
    </row>
    <row r="167" spans="1:9" ht="33">
      <c r="A167" s="41" t="s">
        <v>192</v>
      </c>
      <c r="B167" s="59">
        <v>902</v>
      </c>
      <c r="C167" s="19" t="s">
        <v>16</v>
      </c>
      <c r="D167" s="18" t="s">
        <v>18</v>
      </c>
      <c r="E167" s="18" t="s">
        <v>1210</v>
      </c>
      <c r="F167" s="59">
        <v>320</v>
      </c>
      <c r="G167" s="43">
        <v>106900</v>
      </c>
      <c r="H167" s="43">
        <v>110000</v>
      </c>
      <c r="I167" s="43">
        <f>115000-15000</f>
        <v>100000</v>
      </c>
    </row>
    <row r="168" spans="1:9" ht="16.5">
      <c r="A168" s="41" t="s">
        <v>66</v>
      </c>
      <c r="B168" s="23">
        <v>902</v>
      </c>
      <c r="C168" s="18" t="s">
        <v>35</v>
      </c>
      <c r="D168" s="18"/>
      <c r="E168" s="18"/>
      <c r="F168" s="18"/>
      <c r="G168" s="42">
        <f>G169</f>
        <v>7044600</v>
      </c>
      <c r="H168" s="42">
        <f aca="true" t="shared" si="21" ref="H168:I172">H169</f>
        <v>7045000</v>
      </c>
      <c r="I168" s="42">
        <f t="shared" si="21"/>
        <v>7045000</v>
      </c>
    </row>
    <row r="169" spans="1:9" ht="16.5">
      <c r="A169" s="46" t="s">
        <v>62</v>
      </c>
      <c r="B169" s="23">
        <v>902</v>
      </c>
      <c r="C169" s="18" t="s">
        <v>35</v>
      </c>
      <c r="D169" s="18" t="s">
        <v>14</v>
      </c>
      <c r="E169" s="18"/>
      <c r="F169" s="18"/>
      <c r="G169" s="42">
        <f>G170</f>
        <v>7044600</v>
      </c>
      <c r="H169" s="42">
        <f t="shared" si="21"/>
        <v>7045000</v>
      </c>
      <c r="I169" s="42">
        <f t="shared" si="21"/>
        <v>7045000</v>
      </c>
    </row>
    <row r="170" spans="1:9" ht="49.5">
      <c r="A170" s="41" t="s">
        <v>201</v>
      </c>
      <c r="B170" s="23">
        <v>902</v>
      </c>
      <c r="C170" s="18" t="s">
        <v>35</v>
      </c>
      <c r="D170" s="18" t="s">
        <v>14</v>
      </c>
      <c r="E170" s="61" t="s">
        <v>210</v>
      </c>
      <c r="F170" s="18"/>
      <c r="G170" s="42">
        <f>G171</f>
        <v>7044600</v>
      </c>
      <c r="H170" s="42">
        <f t="shared" si="21"/>
        <v>7045000</v>
      </c>
      <c r="I170" s="42">
        <f t="shared" si="21"/>
        <v>7045000</v>
      </c>
    </row>
    <row r="171" spans="1:9" ht="16.5">
      <c r="A171" s="41" t="s">
        <v>46</v>
      </c>
      <c r="B171" s="23">
        <v>902</v>
      </c>
      <c r="C171" s="18" t="s">
        <v>35</v>
      </c>
      <c r="D171" s="18" t="s">
        <v>14</v>
      </c>
      <c r="E171" s="18" t="s">
        <v>226</v>
      </c>
      <c r="F171" s="59"/>
      <c r="G171" s="42">
        <f>G172</f>
        <v>7044600</v>
      </c>
      <c r="H171" s="42">
        <f t="shared" si="21"/>
        <v>7045000</v>
      </c>
      <c r="I171" s="42">
        <f t="shared" si="21"/>
        <v>7045000</v>
      </c>
    </row>
    <row r="172" spans="1:9" s="66" customFormat="1" ht="49.5">
      <c r="A172" s="41" t="s">
        <v>149</v>
      </c>
      <c r="B172" s="23">
        <v>902</v>
      </c>
      <c r="C172" s="18" t="s">
        <v>35</v>
      </c>
      <c r="D172" s="18" t="s">
        <v>14</v>
      </c>
      <c r="E172" s="18" t="s">
        <v>345</v>
      </c>
      <c r="F172" s="65"/>
      <c r="G172" s="42">
        <f>G173</f>
        <v>7044600</v>
      </c>
      <c r="H172" s="42">
        <f t="shared" si="21"/>
        <v>7045000</v>
      </c>
      <c r="I172" s="42">
        <f t="shared" si="21"/>
        <v>7045000</v>
      </c>
    </row>
    <row r="173" spans="1:9" s="66" customFormat="1" ht="16.5">
      <c r="A173" s="95" t="s">
        <v>150</v>
      </c>
      <c r="B173" s="23">
        <v>902</v>
      </c>
      <c r="C173" s="18" t="s">
        <v>35</v>
      </c>
      <c r="D173" s="18" t="s">
        <v>14</v>
      </c>
      <c r="E173" s="18" t="s">
        <v>345</v>
      </c>
      <c r="F173" s="19" t="s">
        <v>151</v>
      </c>
      <c r="G173" s="42">
        <v>7044600</v>
      </c>
      <c r="H173" s="42">
        <v>7045000</v>
      </c>
      <c r="I173" s="42">
        <v>7045000</v>
      </c>
    </row>
    <row r="174" spans="1:9" ht="33">
      <c r="A174" s="121" t="s">
        <v>99</v>
      </c>
      <c r="B174" s="122">
        <v>904</v>
      </c>
      <c r="C174" s="123"/>
      <c r="D174" s="123"/>
      <c r="E174" s="123"/>
      <c r="F174" s="123"/>
      <c r="G174" s="124">
        <f>G175+G310</f>
        <v>826625994.3100001</v>
      </c>
      <c r="H174" s="124">
        <f>H175+H310</f>
        <v>762746418.4</v>
      </c>
      <c r="I174" s="124">
        <f>I175+I310</f>
        <v>809943600.4</v>
      </c>
    </row>
    <row r="175" spans="1:9" ht="16.5">
      <c r="A175" s="41" t="s">
        <v>28</v>
      </c>
      <c r="B175" s="23">
        <v>904</v>
      </c>
      <c r="C175" s="18" t="s">
        <v>8</v>
      </c>
      <c r="D175" s="18"/>
      <c r="E175" s="18"/>
      <c r="F175" s="18"/>
      <c r="G175" s="43">
        <f>G176+G194+G249+G258+G264+G241</f>
        <v>775305994.3100001</v>
      </c>
      <c r="H175" s="43">
        <f>H176+H194+H249+H258+H264+H241</f>
        <v>709531418.4</v>
      </c>
      <c r="I175" s="43">
        <f>I176+I194+I249+I258+I264+I241</f>
        <v>754756600.4</v>
      </c>
    </row>
    <row r="176" spans="1:9" ht="16.5">
      <c r="A176" s="41" t="s">
        <v>6</v>
      </c>
      <c r="B176" s="23">
        <v>904</v>
      </c>
      <c r="C176" s="19" t="s">
        <v>8</v>
      </c>
      <c r="D176" s="18" t="s">
        <v>9</v>
      </c>
      <c r="E176" s="18"/>
      <c r="F176" s="18"/>
      <c r="G176" s="42">
        <f>G177</f>
        <v>139674368</v>
      </c>
      <c r="H176" s="42">
        <f>H177</f>
        <v>131402199.99999999</v>
      </c>
      <c r="I176" s="42">
        <f>I177</f>
        <v>142260200</v>
      </c>
    </row>
    <row r="177" spans="1:9" s="66" customFormat="1" ht="33">
      <c r="A177" s="41" t="s">
        <v>1130</v>
      </c>
      <c r="B177" s="23">
        <v>904</v>
      </c>
      <c r="C177" s="19" t="s">
        <v>8</v>
      </c>
      <c r="D177" s="18" t="s">
        <v>9</v>
      </c>
      <c r="E177" s="61" t="s">
        <v>253</v>
      </c>
      <c r="F177" s="59"/>
      <c r="G177" s="43">
        <f aca="true" t="shared" si="22" ref="G177:I178">G178</f>
        <v>139674368</v>
      </c>
      <c r="H177" s="43">
        <f t="shared" si="22"/>
        <v>131402199.99999999</v>
      </c>
      <c r="I177" s="43">
        <f t="shared" si="22"/>
        <v>142260200</v>
      </c>
    </row>
    <row r="178" spans="1:9" s="66" customFormat="1" ht="33">
      <c r="A178" s="41" t="s">
        <v>509</v>
      </c>
      <c r="B178" s="23">
        <v>904</v>
      </c>
      <c r="C178" s="19" t="s">
        <v>8</v>
      </c>
      <c r="D178" s="18" t="s">
        <v>9</v>
      </c>
      <c r="E178" s="18" t="s">
        <v>261</v>
      </c>
      <c r="F178" s="59"/>
      <c r="G178" s="43">
        <f t="shared" si="22"/>
        <v>139674368</v>
      </c>
      <c r="H178" s="43">
        <f t="shared" si="22"/>
        <v>131402199.99999999</v>
      </c>
      <c r="I178" s="43">
        <f t="shared" si="22"/>
        <v>142260200</v>
      </c>
    </row>
    <row r="179" spans="1:9" s="66" customFormat="1" ht="16.5">
      <c r="A179" s="41" t="s">
        <v>243</v>
      </c>
      <c r="B179" s="23">
        <v>904</v>
      </c>
      <c r="C179" s="19" t="s">
        <v>8</v>
      </c>
      <c r="D179" s="18" t="s">
        <v>9</v>
      </c>
      <c r="E179" s="18" t="s">
        <v>284</v>
      </c>
      <c r="F179" s="59"/>
      <c r="G179" s="43">
        <f>G180+G184+G186+G188+G182+G190+G192</f>
        <v>139674368</v>
      </c>
      <c r="H179" s="43">
        <f>H180+H184+H186+H188+H182+H190+H192</f>
        <v>131402199.99999999</v>
      </c>
      <c r="I179" s="43">
        <f>I180+I184+I186+I188+I182+I190+I192</f>
        <v>142260200</v>
      </c>
    </row>
    <row r="180" spans="1:9" s="66" customFormat="1" ht="33">
      <c r="A180" s="41" t="s">
        <v>152</v>
      </c>
      <c r="B180" s="23">
        <v>904</v>
      </c>
      <c r="C180" s="19" t="s">
        <v>8</v>
      </c>
      <c r="D180" s="18" t="s">
        <v>9</v>
      </c>
      <c r="E180" s="18" t="s">
        <v>290</v>
      </c>
      <c r="F180" s="59"/>
      <c r="G180" s="43">
        <f>G181</f>
        <v>36308300</v>
      </c>
      <c r="H180" s="43">
        <f>H181</f>
        <v>37157800</v>
      </c>
      <c r="I180" s="43">
        <f>I181</f>
        <v>37157800</v>
      </c>
    </row>
    <row r="181" spans="1:9" s="66" customFormat="1" ht="16.5">
      <c r="A181" s="41" t="s">
        <v>153</v>
      </c>
      <c r="B181" s="23">
        <v>904</v>
      </c>
      <c r="C181" s="19" t="s">
        <v>8</v>
      </c>
      <c r="D181" s="18" t="s">
        <v>9</v>
      </c>
      <c r="E181" s="18" t="s">
        <v>290</v>
      </c>
      <c r="F181" s="59">
        <v>610</v>
      </c>
      <c r="G181" s="43">
        <v>36308300</v>
      </c>
      <c r="H181" s="43">
        <v>37157800</v>
      </c>
      <c r="I181" s="43">
        <v>37157800</v>
      </c>
    </row>
    <row r="182" spans="1:9" s="66" customFormat="1" ht="33" hidden="1">
      <c r="A182" s="41" t="s">
        <v>472</v>
      </c>
      <c r="B182" s="23">
        <v>904</v>
      </c>
      <c r="C182" s="19" t="s">
        <v>8</v>
      </c>
      <c r="D182" s="18" t="s">
        <v>9</v>
      </c>
      <c r="E182" s="18" t="s">
        <v>530</v>
      </c>
      <c r="F182" s="59"/>
      <c r="G182" s="43">
        <f>G183</f>
        <v>0</v>
      </c>
      <c r="H182" s="43">
        <f>H183</f>
        <v>0</v>
      </c>
      <c r="I182" s="43">
        <f>I183</f>
        <v>0</v>
      </c>
    </row>
    <row r="183" spans="1:9" s="66" customFormat="1" ht="16.5" hidden="1">
      <c r="A183" s="41" t="s">
        <v>153</v>
      </c>
      <c r="B183" s="23">
        <v>904</v>
      </c>
      <c r="C183" s="19" t="s">
        <v>8</v>
      </c>
      <c r="D183" s="18" t="s">
        <v>9</v>
      </c>
      <c r="E183" s="18" t="s">
        <v>530</v>
      </c>
      <c r="F183" s="59">
        <v>610</v>
      </c>
      <c r="G183" s="43"/>
      <c r="H183" s="43"/>
      <c r="I183" s="43"/>
    </row>
    <row r="184" spans="1:9" s="66" customFormat="1" ht="33">
      <c r="A184" s="41" t="s">
        <v>182</v>
      </c>
      <c r="B184" s="23">
        <v>904</v>
      </c>
      <c r="C184" s="19" t="s">
        <v>8</v>
      </c>
      <c r="D184" s="18" t="s">
        <v>9</v>
      </c>
      <c r="E184" s="18" t="s">
        <v>286</v>
      </c>
      <c r="F184" s="59"/>
      <c r="G184" s="43">
        <f>G185</f>
        <v>400000</v>
      </c>
      <c r="H184" s="43">
        <f>H185</f>
        <v>0</v>
      </c>
      <c r="I184" s="43">
        <f>I185</f>
        <v>0</v>
      </c>
    </row>
    <row r="185" spans="1:9" s="66" customFormat="1" ht="16.5">
      <c r="A185" s="41" t="s">
        <v>153</v>
      </c>
      <c r="B185" s="23">
        <v>904</v>
      </c>
      <c r="C185" s="19" t="s">
        <v>8</v>
      </c>
      <c r="D185" s="18" t="s">
        <v>9</v>
      </c>
      <c r="E185" s="18" t="s">
        <v>286</v>
      </c>
      <c r="F185" s="59">
        <v>610</v>
      </c>
      <c r="G185" s="43">
        <v>400000</v>
      </c>
      <c r="H185" s="43">
        <v>0</v>
      </c>
      <c r="I185" s="43">
        <v>0</v>
      </c>
    </row>
    <row r="186" spans="1:9" s="66" customFormat="1" ht="16.5">
      <c r="A186" s="41" t="s">
        <v>181</v>
      </c>
      <c r="B186" s="23">
        <v>904</v>
      </c>
      <c r="C186" s="19" t="s">
        <v>8</v>
      </c>
      <c r="D186" s="18" t="s">
        <v>9</v>
      </c>
      <c r="E186" s="18" t="s">
        <v>287</v>
      </c>
      <c r="F186" s="59"/>
      <c r="G186" s="43">
        <f>G187</f>
        <v>3561441.74</v>
      </c>
      <c r="H186" s="43">
        <f>H187</f>
        <v>3771248.48</v>
      </c>
      <c r="I186" s="43">
        <f>I187</f>
        <v>2081753.54</v>
      </c>
    </row>
    <row r="187" spans="1:9" s="66" customFormat="1" ht="16.5">
      <c r="A187" s="41" t="s">
        <v>153</v>
      </c>
      <c r="B187" s="23">
        <v>904</v>
      </c>
      <c r="C187" s="19" t="s">
        <v>8</v>
      </c>
      <c r="D187" s="18" t="s">
        <v>9</v>
      </c>
      <c r="E187" s="18" t="s">
        <v>287</v>
      </c>
      <c r="F187" s="59">
        <v>610</v>
      </c>
      <c r="G187" s="43">
        <f>3574068-12626.26</f>
        <v>3561441.74</v>
      </c>
      <c r="H187" s="43">
        <f>3786400-15151.52</f>
        <v>3771248.48</v>
      </c>
      <c r="I187" s="43">
        <f>2096400-14646.46</f>
        <v>2081753.54</v>
      </c>
    </row>
    <row r="188" spans="1:9" s="66" customFormat="1" ht="49.5">
      <c r="A188" s="41" t="s">
        <v>285</v>
      </c>
      <c r="B188" s="23">
        <v>904</v>
      </c>
      <c r="C188" s="19" t="s">
        <v>8</v>
      </c>
      <c r="D188" s="18" t="s">
        <v>9</v>
      </c>
      <c r="E188" s="18" t="s">
        <v>288</v>
      </c>
      <c r="F188" s="59"/>
      <c r="G188" s="43">
        <f>G189</f>
        <v>98142000</v>
      </c>
      <c r="H188" s="43">
        <f>H189</f>
        <v>88958000</v>
      </c>
      <c r="I188" s="43">
        <f>I189</f>
        <v>101556000</v>
      </c>
    </row>
    <row r="189" spans="1:9" s="66" customFormat="1" ht="16.5">
      <c r="A189" s="41" t="s">
        <v>153</v>
      </c>
      <c r="B189" s="23">
        <v>904</v>
      </c>
      <c r="C189" s="19" t="s">
        <v>8</v>
      </c>
      <c r="D189" s="18" t="s">
        <v>9</v>
      </c>
      <c r="E189" s="18" t="s">
        <v>288</v>
      </c>
      <c r="F189" s="59">
        <v>610</v>
      </c>
      <c r="G189" s="43">
        <f>76064000+22078000</f>
        <v>98142000</v>
      </c>
      <c r="H189" s="43">
        <v>88958000</v>
      </c>
      <c r="I189" s="43">
        <v>101556000</v>
      </c>
    </row>
    <row r="190" spans="1:9" s="66" customFormat="1" ht="33">
      <c r="A190" s="41" t="s">
        <v>1265</v>
      </c>
      <c r="B190" s="23">
        <v>904</v>
      </c>
      <c r="C190" s="19" t="s">
        <v>8</v>
      </c>
      <c r="D190" s="18" t="s">
        <v>9</v>
      </c>
      <c r="E190" s="18" t="s">
        <v>1263</v>
      </c>
      <c r="F190" s="59"/>
      <c r="G190" s="43">
        <f>G191</f>
        <v>1250000</v>
      </c>
      <c r="H190" s="43">
        <f>H191</f>
        <v>1500000</v>
      </c>
      <c r="I190" s="43">
        <f>I191</f>
        <v>1450000</v>
      </c>
    </row>
    <row r="191" spans="1:9" s="66" customFormat="1" ht="16.5">
      <c r="A191" s="41" t="s">
        <v>153</v>
      </c>
      <c r="B191" s="23">
        <v>904</v>
      </c>
      <c r="C191" s="19" t="s">
        <v>8</v>
      </c>
      <c r="D191" s="18" t="s">
        <v>9</v>
      </c>
      <c r="E191" s="18" t="s">
        <v>1263</v>
      </c>
      <c r="F191" s="59">
        <v>610</v>
      </c>
      <c r="G191" s="43">
        <v>1250000</v>
      </c>
      <c r="H191" s="43">
        <v>1500000</v>
      </c>
      <c r="I191" s="43">
        <v>1450000</v>
      </c>
    </row>
    <row r="192" spans="1:9" s="66" customFormat="1" ht="33">
      <c r="A192" s="41" t="s">
        <v>1266</v>
      </c>
      <c r="B192" s="23">
        <v>904</v>
      </c>
      <c r="C192" s="19" t="s">
        <v>8</v>
      </c>
      <c r="D192" s="18" t="s">
        <v>9</v>
      </c>
      <c r="E192" s="18" t="s">
        <v>1264</v>
      </c>
      <c r="F192" s="59"/>
      <c r="G192" s="43">
        <f>G193</f>
        <v>12626.26</v>
      </c>
      <c r="H192" s="43">
        <f>H193</f>
        <v>15151.52</v>
      </c>
      <c r="I192" s="43">
        <f>I193</f>
        <v>14646.46</v>
      </c>
    </row>
    <row r="193" spans="1:9" s="66" customFormat="1" ht="16.5">
      <c r="A193" s="41" t="s">
        <v>153</v>
      </c>
      <c r="B193" s="23">
        <v>904</v>
      </c>
      <c r="C193" s="19" t="s">
        <v>8</v>
      </c>
      <c r="D193" s="18" t="s">
        <v>9</v>
      </c>
      <c r="E193" s="18" t="s">
        <v>1264</v>
      </c>
      <c r="F193" s="59">
        <v>610</v>
      </c>
      <c r="G193" s="43">
        <v>12626.26</v>
      </c>
      <c r="H193" s="43">
        <v>15151.52</v>
      </c>
      <c r="I193" s="43">
        <v>14646.46</v>
      </c>
    </row>
    <row r="194" spans="1:18" ht="16.5">
      <c r="A194" s="41" t="s">
        <v>2</v>
      </c>
      <c r="B194" s="23">
        <v>904</v>
      </c>
      <c r="C194" s="19" t="s">
        <v>8</v>
      </c>
      <c r="D194" s="19" t="s">
        <v>14</v>
      </c>
      <c r="E194" s="18"/>
      <c r="F194" s="18"/>
      <c r="G194" s="42">
        <f>G195+G200+G233+G237</f>
        <v>576232406.3100001</v>
      </c>
      <c r="H194" s="42">
        <f>H195+H200+H233+H237</f>
        <v>518770478</v>
      </c>
      <c r="I194" s="42">
        <f>I195+I200+I233+I237</f>
        <v>552935468</v>
      </c>
      <c r="Q194" s="105"/>
      <c r="R194" s="105"/>
    </row>
    <row r="195" spans="1:18" ht="33">
      <c r="A195" s="41" t="s">
        <v>1136</v>
      </c>
      <c r="B195" s="23">
        <v>904</v>
      </c>
      <c r="C195" s="19" t="s">
        <v>8</v>
      </c>
      <c r="D195" s="19" t="s">
        <v>14</v>
      </c>
      <c r="E195" s="61" t="s">
        <v>231</v>
      </c>
      <c r="F195" s="18"/>
      <c r="G195" s="42">
        <f>G196</f>
        <v>179000</v>
      </c>
      <c r="H195" s="42">
        <f aca="true" t="shared" si="23" ref="H195:I198">H196</f>
        <v>100000</v>
      </c>
      <c r="I195" s="42">
        <f t="shared" si="23"/>
        <v>0</v>
      </c>
      <c r="Q195" s="105"/>
      <c r="R195" s="105"/>
    </row>
    <row r="196" spans="1:18" ht="16.5">
      <c r="A196" s="41" t="s">
        <v>1234</v>
      </c>
      <c r="B196" s="23">
        <v>904</v>
      </c>
      <c r="C196" s="19" t="s">
        <v>8</v>
      </c>
      <c r="D196" s="19" t="s">
        <v>14</v>
      </c>
      <c r="E196" s="61" t="s">
        <v>233</v>
      </c>
      <c r="F196" s="18"/>
      <c r="G196" s="42">
        <f>G197</f>
        <v>179000</v>
      </c>
      <c r="H196" s="42">
        <f t="shared" si="23"/>
        <v>100000</v>
      </c>
      <c r="I196" s="42">
        <f t="shared" si="23"/>
        <v>0</v>
      </c>
      <c r="Q196" s="105"/>
      <c r="R196" s="105"/>
    </row>
    <row r="197" spans="1:18" ht="16.5">
      <c r="A197" s="69" t="s">
        <v>1236</v>
      </c>
      <c r="B197" s="23">
        <v>904</v>
      </c>
      <c r="C197" s="19" t="s">
        <v>8</v>
      </c>
      <c r="D197" s="19" t="s">
        <v>14</v>
      </c>
      <c r="E197" s="58" t="s">
        <v>1235</v>
      </c>
      <c r="F197" s="59"/>
      <c r="G197" s="42">
        <f>G198</f>
        <v>179000</v>
      </c>
      <c r="H197" s="42">
        <f t="shared" si="23"/>
        <v>100000</v>
      </c>
      <c r="I197" s="42">
        <f t="shared" si="23"/>
        <v>0</v>
      </c>
      <c r="Q197" s="105"/>
      <c r="R197" s="105"/>
    </row>
    <row r="198" spans="1:18" ht="16.5">
      <c r="A198" s="74" t="s">
        <v>1237</v>
      </c>
      <c r="B198" s="23">
        <v>904</v>
      </c>
      <c r="C198" s="19" t="s">
        <v>8</v>
      </c>
      <c r="D198" s="19" t="s">
        <v>14</v>
      </c>
      <c r="E198" s="18" t="s">
        <v>1238</v>
      </c>
      <c r="F198" s="59"/>
      <c r="G198" s="42">
        <f>G199</f>
        <v>179000</v>
      </c>
      <c r="H198" s="42">
        <f t="shared" si="23"/>
        <v>100000</v>
      </c>
      <c r="I198" s="42">
        <f t="shared" si="23"/>
        <v>0</v>
      </c>
      <c r="Q198" s="105"/>
      <c r="R198" s="105"/>
    </row>
    <row r="199" spans="1:18" ht="16.5">
      <c r="A199" s="41" t="s">
        <v>153</v>
      </c>
      <c r="B199" s="23">
        <v>904</v>
      </c>
      <c r="C199" s="19" t="s">
        <v>8</v>
      </c>
      <c r="D199" s="19" t="s">
        <v>14</v>
      </c>
      <c r="E199" s="18" t="s">
        <v>1238</v>
      </c>
      <c r="F199" s="60">
        <v>610</v>
      </c>
      <c r="G199" s="42">
        <v>179000</v>
      </c>
      <c r="H199" s="42">
        <v>100000</v>
      </c>
      <c r="I199" s="42">
        <f>100000-100000</f>
        <v>0</v>
      </c>
      <c r="Q199" s="105"/>
      <c r="R199" s="105"/>
    </row>
    <row r="200" spans="1:9" s="66" customFormat="1" ht="33">
      <c r="A200" s="41" t="s">
        <v>1130</v>
      </c>
      <c r="B200" s="23">
        <v>904</v>
      </c>
      <c r="C200" s="19" t="s">
        <v>8</v>
      </c>
      <c r="D200" s="19" t="s">
        <v>14</v>
      </c>
      <c r="E200" s="61" t="s">
        <v>253</v>
      </c>
      <c r="F200" s="59"/>
      <c r="G200" s="43">
        <f>G201</f>
        <v>575848406.3100001</v>
      </c>
      <c r="H200" s="43">
        <f>H201</f>
        <v>518465478</v>
      </c>
      <c r="I200" s="43">
        <f>I201</f>
        <v>552780468</v>
      </c>
    </row>
    <row r="201" spans="1:9" s="66" customFormat="1" ht="33">
      <c r="A201" s="41" t="s">
        <v>509</v>
      </c>
      <c r="B201" s="23">
        <v>904</v>
      </c>
      <c r="C201" s="19" t="s">
        <v>8</v>
      </c>
      <c r="D201" s="18" t="s">
        <v>14</v>
      </c>
      <c r="E201" s="18" t="s">
        <v>261</v>
      </c>
      <c r="F201" s="59"/>
      <c r="G201" s="43">
        <f>G202+G205+G226</f>
        <v>575848406.3100001</v>
      </c>
      <c r="H201" s="43">
        <f>H202+H205+H226</f>
        <v>518465478</v>
      </c>
      <c r="I201" s="43">
        <f>I202+I205+I226</f>
        <v>552780468</v>
      </c>
    </row>
    <row r="202" spans="1:9" s="66" customFormat="1" ht="16.5" hidden="1">
      <c r="A202" s="41" t="s">
        <v>243</v>
      </c>
      <c r="B202" s="23">
        <v>904</v>
      </c>
      <c r="C202" s="19" t="s">
        <v>8</v>
      </c>
      <c r="D202" s="19" t="s">
        <v>14</v>
      </c>
      <c r="E202" s="18" t="s">
        <v>284</v>
      </c>
      <c r="F202" s="59"/>
      <c r="G202" s="43">
        <f aca="true" t="shared" si="24" ref="G202:I203">G203</f>
        <v>0</v>
      </c>
      <c r="H202" s="43">
        <f t="shared" si="24"/>
        <v>0</v>
      </c>
      <c r="I202" s="43">
        <f t="shared" si="24"/>
        <v>0</v>
      </c>
    </row>
    <row r="203" spans="1:9" s="66" customFormat="1" ht="33" hidden="1">
      <c r="A203" s="41" t="s">
        <v>182</v>
      </c>
      <c r="B203" s="23">
        <v>904</v>
      </c>
      <c r="C203" s="19" t="s">
        <v>8</v>
      </c>
      <c r="D203" s="19" t="s">
        <v>14</v>
      </c>
      <c r="E203" s="18" t="s">
        <v>286</v>
      </c>
      <c r="F203" s="59"/>
      <c r="G203" s="43">
        <f t="shared" si="24"/>
        <v>0</v>
      </c>
      <c r="H203" s="43">
        <f t="shared" si="24"/>
        <v>0</v>
      </c>
      <c r="I203" s="43">
        <f t="shared" si="24"/>
        <v>0</v>
      </c>
    </row>
    <row r="204" spans="1:9" s="66" customFormat="1" ht="16.5" hidden="1">
      <c r="A204" s="41" t="s">
        <v>153</v>
      </c>
      <c r="B204" s="23">
        <v>904</v>
      </c>
      <c r="C204" s="19" t="s">
        <v>8</v>
      </c>
      <c r="D204" s="19" t="s">
        <v>14</v>
      </c>
      <c r="E204" s="18" t="s">
        <v>286</v>
      </c>
      <c r="F204" s="59">
        <v>610</v>
      </c>
      <c r="G204" s="43"/>
      <c r="H204" s="43"/>
      <c r="I204" s="43"/>
    </row>
    <row r="205" spans="1:9" s="66" customFormat="1" ht="33">
      <c r="A205" s="41" t="s">
        <v>244</v>
      </c>
      <c r="B205" s="23">
        <v>904</v>
      </c>
      <c r="C205" s="19" t="s">
        <v>8</v>
      </c>
      <c r="D205" s="19" t="s">
        <v>14</v>
      </c>
      <c r="E205" s="18" t="s">
        <v>289</v>
      </c>
      <c r="F205" s="59"/>
      <c r="G205" s="43">
        <f>G206+G208+G210+G212+G214+G216+G218+G224+G220+G222</f>
        <v>554831125.69</v>
      </c>
      <c r="H205" s="43">
        <f>H206+H208+H210+H212+H214+H216+H218+H224+H220+H222</f>
        <v>518465478</v>
      </c>
      <c r="I205" s="43">
        <f>I206+I208+I210+I212+I214+I216+I218+I224+I220+I222</f>
        <v>552780468</v>
      </c>
    </row>
    <row r="206" spans="1:9" s="66" customFormat="1" ht="33">
      <c r="A206" s="41" t="s">
        <v>154</v>
      </c>
      <c r="B206" s="23">
        <v>904</v>
      </c>
      <c r="C206" s="19" t="s">
        <v>8</v>
      </c>
      <c r="D206" s="19" t="s">
        <v>14</v>
      </c>
      <c r="E206" s="18" t="s">
        <v>291</v>
      </c>
      <c r="F206" s="59"/>
      <c r="G206" s="43">
        <f>G207</f>
        <v>86681602.69</v>
      </c>
      <c r="H206" s="43">
        <f>H207</f>
        <v>91410368</v>
      </c>
      <c r="I206" s="43">
        <f>I207</f>
        <v>87864568</v>
      </c>
    </row>
    <row r="207" spans="1:9" s="66" customFormat="1" ht="16.5">
      <c r="A207" s="41" t="s">
        <v>153</v>
      </c>
      <c r="B207" s="23">
        <v>904</v>
      </c>
      <c r="C207" s="19" t="s">
        <v>8</v>
      </c>
      <c r="D207" s="19" t="s">
        <v>14</v>
      </c>
      <c r="E207" s="18" t="s">
        <v>291</v>
      </c>
      <c r="F207" s="59">
        <v>610</v>
      </c>
      <c r="G207" s="43">
        <f>86561839+119763.69</f>
        <v>86681602.69</v>
      </c>
      <c r="H207" s="43">
        <f>91303768+106600</f>
        <v>91410368</v>
      </c>
      <c r="I207" s="43">
        <f>87804568+60000</f>
        <v>87864568</v>
      </c>
    </row>
    <row r="208" spans="1:9" s="66" customFormat="1" ht="33" hidden="1">
      <c r="A208" s="40" t="s">
        <v>472</v>
      </c>
      <c r="B208" s="23">
        <v>904</v>
      </c>
      <c r="C208" s="19" t="s">
        <v>8</v>
      </c>
      <c r="D208" s="19" t="s">
        <v>14</v>
      </c>
      <c r="E208" s="18" t="s">
        <v>471</v>
      </c>
      <c r="F208" s="59"/>
      <c r="G208" s="43">
        <f>G209</f>
        <v>0</v>
      </c>
      <c r="H208" s="43">
        <f>H209</f>
        <v>0</v>
      </c>
      <c r="I208" s="43">
        <f>I209</f>
        <v>0</v>
      </c>
    </row>
    <row r="209" spans="1:9" s="66" customFormat="1" ht="16.5" hidden="1">
      <c r="A209" s="41" t="s">
        <v>153</v>
      </c>
      <c r="B209" s="23">
        <v>904</v>
      </c>
      <c r="C209" s="19" t="s">
        <v>8</v>
      </c>
      <c r="D209" s="19" t="s">
        <v>14</v>
      </c>
      <c r="E209" s="18" t="s">
        <v>471</v>
      </c>
      <c r="F209" s="59">
        <v>610</v>
      </c>
      <c r="G209" s="43"/>
      <c r="H209" s="43"/>
      <c r="I209" s="43"/>
    </row>
    <row r="210" spans="1:9" s="66" customFormat="1" ht="33" hidden="1">
      <c r="A210" s="41" t="s">
        <v>182</v>
      </c>
      <c r="B210" s="23">
        <v>904</v>
      </c>
      <c r="C210" s="19" t="s">
        <v>8</v>
      </c>
      <c r="D210" s="19" t="s">
        <v>14</v>
      </c>
      <c r="E210" s="18" t="s">
        <v>292</v>
      </c>
      <c r="F210" s="59"/>
      <c r="G210" s="43">
        <f>G211</f>
        <v>0</v>
      </c>
      <c r="H210" s="43">
        <f>H211</f>
        <v>750000</v>
      </c>
      <c r="I210" s="43">
        <f>I211</f>
        <v>0</v>
      </c>
    </row>
    <row r="211" spans="1:9" s="66" customFormat="1" ht="16.5" hidden="1">
      <c r="A211" s="41" t="s">
        <v>153</v>
      </c>
      <c r="B211" s="23">
        <v>904</v>
      </c>
      <c r="C211" s="19" t="s">
        <v>8</v>
      </c>
      <c r="D211" s="19" t="s">
        <v>14</v>
      </c>
      <c r="E211" s="18" t="s">
        <v>292</v>
      </c>
      <c r="F211" s="59">
        <v>610</v>
      </c>
      <c r="G211" s="43">
        <f>953900-310000-643900</f>
        <v>0</v>
      </c>
      <c r="H211" s="43">
        <v>750000</v>
      </c>
      <c r="I211" s="43">
        <v>0</v>
      </c>
    </row>
    <row r="212" spans="1:9" s="66" customFormat="1" ht="16.5">
      <c r="A212" s="41" t="s">
        <v>155</v>
      </c>
      <c r="B212" s="23">
        <v>904</v>
      </c>
      <c r="C212" s="19" t="s">
        <v>8</v>
      </c>
      <c r="D212" s="19" t="s">
        <v>14</v>
      </c>
      <c r="E212" s="18" t="s">
        <v>294</v>
      </c>
      <c r="F212" s="59"/>
      <c r="G212" s="43">
        <f>G213</f>
        <v>2580000</v>
      </c>
      <c r="H212" s="43">
        <f>H213</f>
        <v>2530000</v>
      </c>
      <c r="I212" s="43">
        <f>I213</f>
        <v>2580000</v>
      </c>
    </row>
    <row r="213" spans="1:9" s="66" customFormat="1" ht="16.5">
      <c r="A213" s="41" t="s">
        <v>153</v>
      </c>
      <c r="B213" s="23">
        <v>904</v>
      </c>
      <c r="C213" s="19" t="s">
        <v>8</v>
      </c>
      <c r="D213" s="19" t="s">
        <v>14</v>
      </c>
      <c r="E213" s="18" t="s">
        <v>294</v>
      </c>
      <c r="F213" s="59">
        <v>610</v>
      </c>
      <c r="G213" s="43">
        <v>2580000</v>
      </c>
      <c r="H213" s="43">
        <v>2530000</v>
      </c>
      <c r="I213" s="43">
        <v>2580000</v>
      </c>
    </row>
    <row r="214" spans="1:9" s="66" customFormat="1" ht="16.5">
      <c r="A214" s="41" t="s">
        <v>183</v>
      </c>
      <c r="B214" s="23">
        <v>904</v>
      </c>
      <c r="C214" s="19" t="s">
        <v>8</v>
      </c>
      <c r="D214" s="19" t="s">
        <v>14</v>
      </c>
      <c r="E214" s="18" t="s">
        <v>293</v>
      </c>
      <c r="F214" s="59"/>
      <c r="G214" s="43">
        <f>G215</f>
        <v>8775028.05</v>
      </c>
      <c r="H214" s="43">
        <f>H215</f>
        <v>3513998.89</v>
      </c>
      <c r="I214" s="43">
        <f>I215</f>
        <v>832849.49</v>
      </c>
    </row>
    <row r="215" spans="1:9" s="66" customFormat="1" ht="16.5">
      <c r="A215" s="41" t="s">
        <v>153</v>
      </c>
      <c r="B215" s="23">
        <v>904</v>
      </c>
      <c r="C215" s="19" t="s">
        <v>8</v>
      </c>
      <c r="D215" s="19" t="s">
        <v>14</v>
      </c>
      <c r="E215" s="18" t="s">
        <v>293</v>
      </c>
      <c r="F215" s="59">
        <v>610</v>
      </c>
      <c r="G215" s="43">
        <f>7367309-11424.95+1419144</f>
        <v>8775028.05</v>
      </c>
      <c r="H215" s="43">
        <f>3562900-48901.11</f>
        <v>3513998.89</v>
      </c>
      <c r="I215" s="43">
        <f>837900-5050.51</f>
        <v>832849.49</v>
      </c>
    </row>
    <row r="216" spans="1:9" s="66" customFormat="1" ht="82.5">
      <c r="A216" s="41" t="s">
        <v>434</v>
      </c>
      <c r="B216" s="23">
        <v>904</v>
      </c>
      <c r="C216" s="19" t="s">
        <v>8</v>
      </c>
      <c r="D216" s="19" t="s">
        <v>14</v>
      </c>
      <c r="E216" s="18" t="s">
        <v>435</v>
      </c>
      <c r="F216" s="59"/>
      <c r="G216" s="43">
        <f>G217</f>
        <v>448125000</v>
      </c>
      <c r="H216" s="43">
        <f>H217</f>
        <v>405952000</v>
      </c>
      <c r="I216" s="43">
        <f>I217</f>
        <v>456579000</v>
      </c>
    </row>
    <row r="217" spans="1:9" s="66" customFormat="1" ht="16.5">
      <c r="A217" s="41" t="s">
        <v>153</v>
      </c>
      <c r="B217" s="23">
        <v>904</v>
      </c>
      <c r="C217" s="19" t="s">
        <v>8</v>
      </c>
      <c r="D217" s="19" t="s">
        <v>14</v>
      </c>
      <c r="E217" s="18" t="s">
        <v>435</v>
      </c>
      <c r="F217" s="59">
        <v>610</v>
      </c>
      <c r="G217" s="43">
        <f>346858000+101267000</f>
        <v>448125000</v>
      </c>
      <c r="H217" s="43">
        <v>405952000</v>
      </c>
      <c r="I217" s="43">
        <v>456579000</v>
      </c>
    </row>
    <row r="218" spans="1:9" s="66" customFormat="1" ht="16.5">
      <c r="A218" s="95" t="s">
        <v>1267</v>
      </c>
      <c r="B218" s="23">
        <v>904</v>
      </c>
      <c r="C218" s="19" t="s">
        <v>8</v>
      </c>
      <c r="D218" s="19" t="s">
        <v>14</v>
      </c>
      <c r="E218" s="18" t="s">
        <v>1271</v>
      </c>
      <c r="F218" s="59"/>
      <c r="G218" s="43">
        <f>G219</f>
        <v>1131070</v>
      </c>
      <c r="H218" s="43">
        <f>H219</f>
        <v>1000000</v>
      </c>
      <c r="I218" s="43">
        <f>I219</f>
        <v>500000</v>
      </c>
    </row>
    <row r="219" spans="1:9" s="66" customFormat="1" ht="16.5">
      <c r="A219" s="41" t="s">
        <v>153</v>
      </c>
      <c r="B219" s="23">
        <v>904</v>
      </c>
      <c r="C219" s="19" t="s">
        <v>8</v>
      </c>
      <c r="D219" s="19" t="s">
        <v>14</v>
      </c>
      <c r="E219" s="18" t="s">
        <v>1271</v>
      </c>
      <c r="F219" s="59">
        <v>610</v>
      </c>
      <c r="G219" s="43">
        <v>1131070</v>
      </c>
      <c r="H219" s="43">
        <v>1000000</v>
      </c>
      <c r="I219" s="43">
        <v>500000</v>
      </c>
    </row>
    <row r="220" spans="1:9" s="66" customFormat="1" ht="16.5">
      <c r="A220" s="72" t="s">
        <v>1273</v>
      </c>
      <c r="B220" s="23">
        <v>904</v>
      </c>
      <c r="C220" s="19" t="s">
        <v>8</v>
      </c>
      <c r="D220" s="19" t="s">
        <v>14</v>
      </c>
      <c r="E220" s="18" t="s">
        <v>1274</v>
      </c>
      <c r="F220" s="59"/>
      <c r="G220" s="43">
        <f>G221</f>
        <v>4419000</v>
      </c>
      <c r="H220" s="43">
        <f>H221</f>
        <v>4419000</v>
      </c>
      <c r="I220" s="43">
        <f>I221</f>
        <v>4419000</v>
      </c>
    </row>
    <row r="221" spans="1:9" s="66" customFormat="1" ht="16.5">
      <c r="A221" s="41" t="s">
        <v>153</v>
      </c>
      <c r="B221" s="23">
        <v>904</v>
      </c>
      <c r="C221" s="19" t="s">
        <v>8</v>
      </c>
      <c r="D221" s="19" t="s">
        <v>14</v>
      </c>
      <c r="E221" s="18" t="s">
        <v>1274</v>
      </c>
      <c r="F221" s="59">
        <v>610</v>
      </c>
      <c r="G221" s="43">
        <v>4419000</v>
      </c>
      <c r="H221" s="43">
        <v>4419000</v>
      </c>
      <c r="I221" s="43">
        <v>4419000</v>
      </c>
    </row>
    <row r="222" spans="1:9" s="66" customFormat="1" ht="66">
      <c r="A222" s="72" t="s">
        <v>1275</v>
      </c>
      <c r="B222" s="23">
        <v>904</v>
      </c>
      <c r="C222" s="19" t="s">
        <v>8</v>
      </c>
      <c r="D222" s="19" t="s">
        <v>14</v>
      </c>
      <c r="E222" s="18" t="s">
        <v>1276</v>
      </c>
      <c r="F222" s="59"/>
      <c r="G222" s="43">
        <f>G223</f>
        <v>3108000</v>
      </c>
      <c r="H222" s="43">
        <f>H223</f>
        <v>8880010.1</v>
      </c>
      <c r="I222" s="43">
        <f>I223</f>
        <v>0</v>
      </c>
    </row>
    <row r="223" spans="1:9" s="66" customFormat="1" ht="16.5">
      <c r="A223" s="41" t="s">
        <v>153</v>
      </c>
      <c r="B223" s="23">
        <v>904</v>
      </c>
      <c r="C223" s="19" t="s">
        <v>8</v>
      </c>
      <c r="D223" s="19" t="s">
        <v>14</v>
      </c>
      <c r="E223" s="18" t="s">
        <v>1276</v>
      </c>
      <c r="F223" s="59">
        <v>610</v>
      </c>
      <c r="G223" s="43">
        <v>3108000</v>
      </c>
      <c r="H223" s="43">
        <v>8880010.1</v>
      </c>
      <c r="I223" s="43"/>
    </row>
    <row r="224" spans="1:9" s="66" customFormat="1" ht="33">
      <c r="A224" s="72" t="s">
        <v>1270</v>
      </c>
      <c r="B224" s="23">
        <v>904</v>
      </c>
      <c r="C224" s="19" t="s">
        <v>8</v>
      </c>
      <c r="D224" s="19" t="s">
        <v>14</v>
      </c>
      <c r="E224" s="18" t="s">
        <v>1272</v>
      </c>
      <c r="F224" s="59"/>
      <c r="G224" s="43">
        <f>G225</f>
        <v>11424.95</v>
      </c>
      <c r="H224" s="43">
        <f>H225</f>
        <v>10101.01</v>
      </c>
      <c r="I224" s="43">
        <f>I225</f>
        <v>5050.51</v>
      </c>
    </row>
    <row r="225" spans="1:9" s="66" customFormat="1" ht="16.5">
      <c r="A225" s="41" t="s">
        <v>153</v>
      </c>
      <c r="B225" s="23">
        <v>904</v>
      </c>
      <c r="C225" s="19" t="s">
        <v>8</v>
      </c>
      <c r="D225" s="19" t="s">
        <v>14</v>
      </c>
      <c r="E225" s="18" t="s">
        <v>1272</v>
      </c>
      <c r="F225" s="59">
        <v>610</v>
      </c>
      <c r="G225" s="43">
        <v>11424.95</v>
      </c>
      <c r="H225" s="43">
        <v>10101.01</v>
      </c>
      <c r="I225" s="43">
        <v>5050.51</v>
      </c>
    </row>
    <row r="226" spans="1:9" s="66" customFormat="1" ht="16.5">
      <c r="A226" s="41" t="s">
        <v>534</v>
      </c>
      <c r="B226" s="23">
        <v>904</v>
      </c>
      <c r="C226" s="19" t="s">
        <v>8</v>
      </c>
      <c r="D226" s="19" t="s">
        <v>14</v>
      </c>
      <c r="E226" s="18" t="s">
        <v>533</v>
      </c>
      <c r="F226" s="59"/>
      <c r="G226" s="43">
        <f>G227+G229+G231</f>
        <v>21017280.62</v>
      </c>
      <c r="H226" s="43">
        <f>H229+H231</f>
        <v>0</v>
      </c>
      <c r="I226" s="43">
        <f>I229+I231</f>
        <v>0</v>
      </c>
    </row>
    <row r="227" spans="1:9" s="66" customFormat="1" ht="33">
      <c r="A227" s="41" t="s">
        <v>1306</v>
      </c>
      <c r="B227" s="23">
        <v>904</v>
      </c>
      <c r="C227" s="100" t="s">
        <v>8</v>
      </c>
      <c r="D227" s="18" t="s">
        <v>14</v>
      </c>
      <c r="E227" s="61" t="s">
        <v>532</v>
      </c>
      <c r="F227" s="59"/>
      <c r="G227" s="43">
        <f>G228</f>
        <v>18396472.62</v>
      </c>
      <c r="H227" s="43">
        <f>H228</f>
        <v>0</v>
      </c>
      <c r="I227" s="43">
        <f>I228</f>
        <v>0</v>
      </c>
    </row>
    <row r="228" spans="1:9" s="66" customFormat="1" ht="16.5">
      <c r="A228" s="41" t="s">
        <v>164</v>
      </c>
      <c r="B228" s="23">
        <v>904</v>
      </c>
      <c r="C228" s="100" t="s">
        <v>8</v>
      </c>
      <c r="D228" s="18" t="s">
        <v>14</v>
      </c>
      <c r="E228" s="61" t="s">
        <v>532</v>
      </c>
      <c r="F228" s="59">
        <v>410</v>
      </c>
      <c r="G228" s="43">
        <v>18396472.62</v>
      </c>
      <c r="H228" s="43">
        <v>0</v>
      </c>
      <c r="I228" s="43">
        <v>0</v>
      </c>
    </row>
    <row r="229" spans="1:9" s="66" customFormat="1" ht="16.5">
      <c r="A229" s="41" t="s">
        <v>1267</v>
      </c>
      <c r="B229" s="23">
        <v>904</v>
      </c>
      <c r="C229" s="19" t="s">
        <v>8</v>
      </c>
      <c r="D229" s="19" t="s">
        <v>14</v>
      </c>
      <c r="E229" s="18" t="s">
        <v>1268</v>
      </c>
      <c r="F229" s="59"/>
      <c r="G229" s="43">
        <f>G230</f>
        <v>2594600</v>
      </c>
      <c r="H229" s="43">
        <f>H230</f>
        <v>0</v>
      </c>
      <c r="I229" s="43">
        <f>I230</f>
        <v>0</v>
      </c>
    </row>
    <row r="230" spans="1:9" s="66" customFormat="1" ht="16.5">
      <c r="A230" s="41" t="s">
        <v>153</v>
      </c>
      <c r="B230" s="23">
        <v>904</v>
      </c>
      <c r="C230" s="19" t="s">
        <v>8</v>
      </c>
      <c r="D230" s="19" t="s">
        <v>14</v>
      </c>
      <c r="E230" s="18" t="s">
        <v>1268</v>
      </c>
      <c r="F230" s="59">
        <v>610</v>
      </c>
      <c r="G230" s="43">
        <v>2594600</v>
      </c>
      <c r="H230" s="43">
        <v>0</v>
      </c>
      <c r="I230" s="43">
        <v>0</v>
      </c>
    </row>
    <row r="231" spans="1:9" s="66" customFormat="1" ht="33">
      <c r="A231" s="41" t="s">
        <v>1270</v>
      </c>
      <c r="B231" s="23">
        <v>904</v>
      </c>
      <c r="C231" s="19" t="s">
        <v>8</v>
      </c>
      <c r="D231" s="19" t="s">
        <v>14</v>
      </c>
      <c r="E231" s="18" t="s">
        <v>1269</v>
      </c>
      <c r="F231" s="59"/>
      <c r="G231" s="43">
        <f>G232</f>
        <v>26208</v>
      </c>
      <c r="H231" s="43">
        <f>H232</f>
        <v>0</v>
      </c>
      <c r="I231" s="43">
        <f>I232</f>
        <v>0</v>
      </c>
    </row>
    <row r="232" spans="1:9" s="66" customFormat="1" ht="16.5">
      <c r="A232" s="41" t="s">
        <v>153</v>
      </c>
      <c r="B232" s="23">
        <v>904</v>
      </c>
      <c r="C232" s="19" t="s">
        <v>8</v>
      </c>
      <c r="D232" s="19" t="s">
        <v>14</v>
      </c>
      <c r="E232" s="18" t="s">
        <v>1269</v>
      </c>
      <c r="F232" s="59">
        <v>610</v>
      </c>
      <c r="G232" s="43">
        <v>26208</v>
      </c>
      <c r="H232" s="43">
        <v>0</v>
      </c>
      <c r="I232" s="43">
        <v>0</v>
      </c>
    </row>
    <row r="233" spans="1:9" s="66" customFormat="1" ht="33">
      <c r="A233" s="41" t="s">
        <v>1131</v>
      </c>
      <c r="B233" s="23">
        <v>904</v>
      </c>
      <c r="C233" s="19" t="s">
        <v>8</v>
      </c>
      <c r="D233" s="18" t="s">
        <v>14</v>
      </c>
      <c r="E233" s="61" t="s">
        <v>254</v>
      </c>
      <c r="F233" s="59"/>
      <c r="G233" s="43">
        <f>G234</f>
        <v>50000</v>
      </c>
      <c r="H233" s="43">
        <f aca="true" t="shared" si="25" ref="H233:I235">H234</f>
        <v>50000</v>
      </c>
      <c r="I233" s="43">
        <f t="shared" si="25"/>
        <v>0</v>
      </c>
    </row>
    <row r="234" spans="1:9" s="66" customFormat="1" ht="16.5">
      <c r="A234" s="41" t="s">
        <v>425</v>
      </c>
      <c r="B234" s="23">
        <v>904</v>
      </c>
      <c r="C234" s="19" t="s">
        <v>8</v>
      </c>
      <c r="D234" s="18" t="s">
        <v>14</v>
      </c>
      <c r="E234" s="18" t="s">
        <v>375</v>
      </c>
      <c r="F234" s="59"/>
      <c r="G234" s="43">
        <f>G235</f>
        <v>50000</v>
      </c>
      <c r="H234" s="43">
        <f t="shared" si="25"/>
        <v>50000</v>
      </c>
      <c r="I234" s="43">
        <f t="shared" si="25"/>
        <v>0</v>
      </c>
    </row>
    <row r="235" spans="1:9" s="66" customFormat="1" ht="16.5">
      <c r="A235" s="40" t="s">
        <v>447</v>
      </c>
      <c r="B235" s="23">
        <v>904</v>
      </c>
      <c r="C235" s="19" t="s">
        <v>8</v>
      </c>
      <c r="D235" s="18" t="s">
        <v>14</v>
      </c>
      <c r="E235" s="18" t="s">
        <v>479</v>
      </c>
      <c r="F235" s="59"/>
      <c r="G235" s="43">
        <f>G236</f>
        <v>50000</v>
      </c>
      <c r="H235" s="43">
        <f t="shared" si="25"/>
        <v>50000</v>
      </c>
      <c r="I235" s="43">
        <f t="shared" si="25"/>
        <v>0</v>
      </c>
    </row>
    <row r="236" spans="1:9" s="66" customFormat="1" ht="16.5">
      <c r="A236" s="41" t="s">
        <v>153</v>
      </c>
      <c r="B236" s="23">
        <v>904</v>
      </c>
      <c r="C236" s="19" t="s">
        <v>8</v>
      </c>
      <c r="D236" s="18" t="s">
        <v>14</v>
      </c>
      <c r="E236" s="18" t="s">
        <v>479</v>
      </c>
      <c r="F236" s="59">
        <v>610</v>
      </c>
      <c r="G236" s="43">
        <v>50000</v>
      </c>
      <c r="H236" s="43">
        <v>50000</v>
      </c>
      <c r="I236" s="43">
        <f>50000-50000</f>
        <v>0</v>
      </c>
    </row>
    <row r="237" spans="1:9" s="66" customFormat="1" ht="16.5">
      <c r="A237" s="41" t="s">
        <v>1129</v>
      </c>
      <c r="B237" s="23">
        <v>904</v>
      </c>
      <c r="C237" s="19" t="s">
        <v>8</v>
      </c>
      <c r="D237" s="18" t="s">
        <v>14</v>
      </c>
      <c r="E237" s="61" t="s">
        <v>255</v>
      </c>
      <c r="F237" s="59"/>
      <c r="G237" s="43">
        <f aca="true" t="shared" si="26" ref="G237:I239">G238</f>
        <v>155000</v>
      </c>
      <c r="H237" s="43">
        <f t="shared" si="26"/>
        <v>155000</v>
      </c>
      <c r="I237" s="43">
        <f t="shared" si="26"/>
        <v>155000</v>
      </c>
    </row>
    <row r="238" spans="1:9" s="66" customFormat="1" ht="33">
      <c r="A238" s="40" t="s">
        <v>512</v>
      </c>
      <c r="B238" s="23">
        <v>904</v>
      </c>
      <c r="C238" s="19" t="s">
        <v>8</v>
      </c>
      <c r="D238" s="18" t="s">
        <v>14</v>
      </c>
      <c r="E238" s="18" t="s">
        <v>274</v>
      </c>
      <c r="F238" s="59"/>
      <c r="G238" s="43">
        <f t="shared" si="26"/>
        <v>155000</v>
      </c>
      <c r="H238" s="43">
        <f t="shared" si="26"/>
        <v>155000</v>
      </c>
      <c r="I238" s="43">
        <f t="shared" si="26"/>
        <v>155000</v>
      </c>
    </row>
    <row r="239" spans="1:9" s="66" customFormat="1" ht="33">
      <c r="A239" s="40" t="s">
        <v>387</v>
      </c>
      <c r="B239" s="23">
        <v>904</v>
      </c>
      <c r="C239" s="19" t="s">
        <v>8</v>
      </c>
      <c r="D239" s="18" t="s">
        <v>14</v>
      </c>
      <c r="E239" s="18" t="s">
        <v>416</v>
      </c>
      <c r="F239" s="59"/>
      <c r="G239" s="43">
        <f>G240</f>
        <v>155000</v>
      </c>
      <c r="H239" s="43">
        <f t="shared" si="26"/>
        <v>155000</v>
      </c>
      <c r="I239" s="43">
        <f t="shared" si="26"/>
        <v>155000</v>
      </c>
    </row>
    <row r="240" spans="1:9" s="66" customFormat="1" ht="16.5">
      <c r="A240" s="41" t="s">
        <v>153</v>
      </c>
      <c r="B240" s="23">
        <v>904</v>
      </c>
      <c r="C240" s="19" t="s">
        <v>8</v>
      </c>
      <c r="D240" s="18" t="s">
        <v>14</v>
      </c>
      <c r="E240" s="18" t="s">
        <v>416</v>
      </c>
      <c r="F240" s="59">
        <v>610</v>
      </c>
      <c r="G240" s="43">
        <v>155000</v>
      </c>
      <c r="H240" s="43">
        <v>155000</v>
      </c>
      <c r="I240" s="43">
        <v>155000</v>
      </c>
    </row>
    <row r="241" spans="1:9" s="66" customFormat="1" ht="16.5">
      <c r="A241" s="41" t="s">
        <v>525</v>
      </c>
      <c r="B241" s="23">
        <v>904</v>
      </c>
      <c r="C241" s="19" t="s">
        <v>8</v>
      </c>
      <c r="D241" s="18" t="s">
        <v>18</v>
      </c>
      <c r="E241" s="18"/>
      <c r="F241" s="59"/>
      <c r="G241" s="43">
        <f>G242</f>
        <v>21704820</v>
      </c>
      <c r="H241" s="43">
        <f>H242</f>
        <v>21506300</v>
      </c>
      <c r="I241" s="43">
        <f>I242</f>
        <v>21515300</v>
      </c>
    </row>
    <row r="242" spans="1:9" s="66" customFormat="1" ht="33">
      <c r="A242" s="41" t="s">
        <v>1130</v>
      </c>
      <c r="B242" s="23">
        <v>904</v>
      </c>
      <c r="C242" s="19" t="s">
        <v>8</v>
      </c>
      <c r="D242" s="19" t="s">
        <v>18</v>
      </c>
      <c r="E242" s="61" t="s">
        <v>253</v>
      </c>
      <c r="F242" s="59"/>
      <c r="G242" s="43">
        <f>G243+G254</f>
        <v>21704820</v>
      </c>
      <c r="H242" s="43">
        <f>H243+H254</f>
        <v>21506300</v>
      </c>
      <c r="I242" s="43">
        <f>I243+I254</f>
        <v>21515300</v>
      </c>
    </row>
    <row r="243" spans="1:9" s="66" customFormat="1" ht="33">
      <c r="A243" s="41" t="s">
        <v>510</v>
      </c>
      <c r="B243" s="23">
        <v>904</v>
      </c>
      <c r="C243" s="19" t="s">
        <v>8</v>
      </c>
      <c r="D243" s="18" t="s">
        <v>18</v>
      </c>
      <c r="E243" s="18" t="s">
        <v>262</v>
      </c>
      <c r="F243" s="59"/>
      <c r="G243" s="43">
        <f aca="true" t="shared" si="27" ref="G243:I245">G244</f>
        <v>21634820</v>
      </c>
      <c r="H243" s="43">
        <f t="shared" si="27"/>
        <v>21445300</v>
      </c>
      <c r="I243" s="43">
        <f t="shared" si="27"/>
        <v>21445300</v>
      </c>
    </row>
    <row r="244" spans="1:9" s="66" customFormat="1" ht="16.5">
      <c r="A244" s="41" t="s">
        <v>246</v>
      </c>
      <c r="B244" s="23">
        <v>904</v>
      </c>
      <c r="C244" s="19" t="s">
        <v>8</v>
      </c>
      <c r="D244" s="18" t="s">
        <v>18</v>
      </c>
      <c r="E244" s="18" t="s">
        <v>298</v>
      </c>
      <c r="F244" s="59"/>
      <c r="G244" s="43">
        <f>G245+G248</f>
        <v>21634820</v>
      </c>
      <c r="H244" s="43">
        <f>H245+H248</f>
        <v>21445300</v>
      </c>
      <c r="I244" s="43">
        <f>I245+I248</f>
        <v>21445300</v>
      </c>
    </row>
    <row r="245" spans="1:9" s="66" customFormat="1" ht="33">
      <c r="A245" s="41" t="s">
        <v>465</v>
      </c>
      <c r="B245" s="23">
        <v>904</v>
      </c>
      <c r="C245" s="19" t="s">
        <v>8</v>
      </c>
      <c r="D245" s="18" t="s">
        <v>18</v>
      </c>
      <c r="E245" s="18" t="s">
        <v>299</v>
      </c>
      <c r="F245" s="59"/>
      <c r="G245" s="43">
        <f t="shared" si="27"/>
        <v>21391300</v>
      </c>
      <c r="H245" s="43">
        <f t="shared" si="27"/>
        <v>21391300</v>
      </c>
      <c r="I245" s="43">
        <f t="shared" si="27"/>
        <v>21391300</v>
      </c>
    </row>
    <row r="246" spans="1:9" s="66" customFormat="1" ht="16.5">
      <c r="A246" s="41" t="s">
        <v>153</v>
      </c>
      <c r="B246" s="23">
        <v>904</v>
      </c>
      <c r="C246" s="19" t="s">
        <v>8</v>
      </c>
      <c r="D246" s="18" t="s">
        <v>18</v>
      </c>
      <c r="E246" s="18" t="s">
        <v>299</v>
      </c>
      <c r="F246" s="59">
        <v>610</v>
      </c>
      <c r="G246" s="43">
        <v>21391300</v>
      </c>
      <c r="H246" s="43">
        <v>21391300</v>
      </c>
      <c r="I246" s="43">
        <v>21391300</v>
      </c>
    </row>
    <row r="247" spans="1:9" s="66" customFormat="1" ht="16.5">
      <c r="A247" s="41" t="s">
        <v>183</v>
      </c>
      <c r="B247" s="23">
        <v>904</v>
      </c>
      <c r="C247" s="19" t="s">
        <v>8</v>
      </c>
      <c r="D247" s="18" t="s">
        <v>18</v>
      </c>
      <c r="E247" s="18" t="s">
        <v>475</v>
      </c>
      <c r="F247" s="59"/>
      <c r="G247" s="43">
        <f>G248</f>
        <v>243520</v>
      </c>
      <c r="H247" s="43">
        <f>H248</f>
        <v>54000</v>
      </c>
      <c r="I247" s="43">
        <f>I248</f>
        <v>54000</v>
      </c>
    </row>
    <row r="248" spans="1:9" s="66" customFormat="1" ht="16.5">
      <c r="A248" s="41" t="s">
        <v>153</v>
      </c>
      <c r="B248" s="23">
        <v>904</v>
      </c>
      <c r="C248" s="19" t="s">
        <v>8</v>
      </c>
      <c r="D248" s="18" t="s">
        <v>18</v>
      </c>
      <c r="E248" s="18" t="s">
        <v>475</v>
      </c>
      <c r="F248" s="59">
        <v>610</v>
      </c>
      <c r="G248" s="43">
        <f>53600+189920</f>
        <v>243520</v>
      </c>
      <c r="H248" s="43">
        <v>54000</v>
      </c>
      <c r="I248" s="43">
        <v>54000</v>
      </c>
    </row>
    <row r="249" spans="1:9" ht="33" hidden="1">
      <c r="A249" s="96" t="s">
        <v>118</v>
      </c>
      <c r="B249" s="23">
        <v>904</v>
      </c>
      <c r="C249" s="18" t="s">
        <v>8</v>
      </c>
      <c r="D249" s="18" t="s">
        <v>13</v>
      </c>
      <c r="E249" s="18"/>
      <c r="F249" s="18"/>
      <c r="G249" s="43">
        <f aca="true" t="shared" si="28" ref="G249:I252">G250</f>
        <v>0</v>
      </c>
      <c r="H249" s="43">
        <f t="shared" si="28"/>
        <v>0</v>
      </c>
      <c r="I249" s="43">
        <f t="shared" si="28"/>
        <v>0</v>
      </c>
    </row>
    <row r="250" spans="1:9" s="66" customFormat="1" ht="33" hidden="1">
      <c r="A250" s="40" t="s">
        <v>1127</v>
      </c>
      <c r="B250" s="23">
        <v>904</v>
      </c>
      <c r="C250" s="18" t="s">
        <v>8</v>
      </c>
      <c r="D250" s="18" t="s">
        <v>13</v>
      </c>
      <c r="E250" s="61" t="s">
        <v>235</v>
      </c>
      <c r="F250" s="59"/>
      <c r="G250" s="43">
        <f t="shared" si="28"/>
        <v>0</v>
      </c>
      <c r="H250" s="43">
        <f t="shared" si="28"/>
        <v>0</v>
      </c>
      <c r="I250" s="43">
        <f t="shared" si="28"/>
        <v>0</v>
      </c>
    </row>
    <row r="251" spans="1:9" s="66" customFormat="1" ht="33" hidden="1">
      <c r="A251" s="74" t="s">
        <v>437</v>
      </c>
      <c r="B251" s="23">
        <v>904</v>
      </c>
      <c r="C251" s="18" t="s">
        <v>8</v>
      </c>
      <c r="D251" s="18" t="s">
        <v>13</v>
      </c>
      <c r="E251" s="61" t="s">
        <v>1231</v>
      </c>
      <c r="F251" s="65"/>
      <c r="G251" s="43">
        <f>G252</f>
        <v>0</v>
      </c>
      <c r="H251" s="43">
        <f t="shared" si="28"/>
        <v>0</v>
      </c>
      <c r="I251" s="43">
        <f t="shared" si="28"/>
        <v>0</v>
      </c>
    </row>
    <row r="252" spans="1:9" s="66" customFormat="1" ht="33" hidden="1">
      <c r="A252" s="74" t="s">
        <v>477</v>
      </c>
      <c r="B252" s="23">
        <v>904</v>
      </c>
      <c r="C252" s="18" t="s">
        <v>8</v>
      </c>
      <c r="D252" s="18" t="s">
        <v>13</v>
      </c>
      <c r="E252" s="61" t="s">
        <v>1232</v>
      </c>
      <c r="F252" s="65"/>
      <c r="G252" s="43">
        <f t="shared" si="28"/>
        <v>0</v>
      </c>
      <c r="H252" s="43">
        <f t="shared" si="28"/>
        <v>0</v>
      </c>
      <c r="I252" s="43">
        <f t="shared" si="28"/>
        <v>0</v>
      </c>
    </row>
    <row r="253" spans="1:9" s="66" customFormat="1" ht="33" hidden="1">
      <c r="A253" s="41" t="s">
        <v>130</v>
      </c>
      <c r="B253" s="23">
        <v>904</v>
      </c>
      <c r="C253" s="18" t="s">
        <v>8</v>
      </c>
      <c r="D253" s="18" t="s">
        <v>13</v>
      </c>
      <c r="E253" s="61" t="s">
        <v>1232</v>
      </c>
      <c r="F253" s="65">
        <v>240</v>
      </c>
      <c r="G253" s="43"/>
      <c r="H253" s="43"/>
      <c r="I253" s="43"/>
    </row>
    <row r="254" spans="1:9" s="66" customFormat="1" ht="16.5">
      <c r="A254" s="41" t="s">
        <v>511</v>
      </c>
      <c r="B254" s="23">
        <v>904</v>
      </c>
      <c r="C254" s="19" t="s">
        <v>8</v>
      </c>
      <c r="D254" s="18" t="s">
        <v>18</v>
      </c>
      <c r="E254" s="18" t="s">
        <v>263</v>
      </c>
      <c r="F254" s="59"/>
      <c r="G254" s="43">
        <f aca="true" t="shared" si="29" ref="G254:I256">G255</f>
        <v>70000</v>
      </c>
      <c r="H254" s="43">
        <f t="shared" si="29"/>
        <v>61000</v>
      </c>
      <c r="I254" s="43">
        <f t="shared" si="29"/>
        <v>70000</v>
      </c>
    </row>
    <row r="255" spans="1:9" s="66" customFormat="1" ht="33">
      <c r="A255" s="41" t="s">
        <v>306</v>
      </c>
      <c r="B255" s="23">
        <v>904</v>
      </c>
      <c r="C255" s="19" t="s">
        <v>8</v>
      </c>
      <c r="D255" s="18" t="s">
        <v>18</v>
      </c>
      <c r="E255" s="18" t="s">
        <v>305</v>
      </c>
      <c r="F255" s="59"/>
      <c r="G255" s="43">
        <f t="shared" si="29"/>
        <v>70000</v>
      </c>
      <c r="H255" s="43">
        <f t="shared" si="29"/>
        <v>61000</v>
      </c>
      <c r="I255" s="43">
        <f t="shared" si="29"/>
        <v>70000</v>
      </c>
    </row>
    <row r="256" spans="1:9" s="66" customFormat="1" ht="16.5">
      <c r="A256" s="41" t="s">
        <v>156</v>
      </c>
      <c r="B256" s="23">
        <v>904</v>
      </c>
      <c r="C256" s="19" t="s">
        <v>8</v>
      </c>
      <c r="D256" s="18" t="s">
        <v>18</v>
      </c>
      <c r="E256" s="18" t="s">
        <v>464</v>
      </c>
      <c r="F256" s="59"/>
      <c r="G256" s="43">
        <f t="shared" si="29"/>
        <v>70000</v>
      </c>
      <c r="H256" s="43">
        <f t="shared" si="29"/>
        <v>61000</v>
      </c>
      <c r="I256" s="43">
        <f t="shared" si="29"/>
        <v>70000</v>
      </c>
    </row>
    <row r="257" spans="1:9" s="66" customFormat="1" ht="16.5">
      <c r="A257" s="41" t="s">
        <v>153</v>
      </c>
      <c r="B257" s="23">
        <v>904</v>
      </c>
      <c r="C257" s="19" t="s">
        <v>8</v>
      </c>
      <c r="D257" s="18" t="s">
        <v>18</v>
      </c>
      <c r="E257" s="18" t="s">
        <v>464</v>
      </c>
      <c r="F257" s="59">
        <v>610</v>
      </c>
      <c r="G257" s="43">
        <v>70000</v>
      </c>
      <c r="H257" s="43">
        <v>61000</v>
      </c>
      <c r="I257" s="43">
        <v>70000</v>
      </c>
    </row>
    <row r="258" spans="1:9" ht="16.5">
      <c r="A258" s="41" t="s">
        <v>53</v>
      </c>
      <c r="B258" s="23">
        <v>904</v>
      </c>
      <c r="C258" s="19" t="s">
        <v>8</v>
      </c>
      <c r="D258" s="18" t="s">
        <v>8</v>
      </c>
      <c r="E258" s="18"/>
      <c r="F258" s="18"/>
      <c r="G258" s="43">
        <f>G259</f>
        <v>3052100</v>
      </c>
      <c r="H258" s="43">
        <f>H259</f>
        <v>3044140.4</v>
      </c>
      <c r="I258" s="43">
        <f>I259</f>
        <v>3045332.4</v>
      </c>
    </row>
    <row r="259" spans="1:9" s="66" customFormat="1" ht="16.5">
      <c r="A259" s="41" t="s">
        <v>1129</v>
      </c>
      <c r="B259" s="23">
        <v>904</v>
      </c>
      <c r="C259" s="19" t="s">
        <v>8</v>
      </c>
      <c r="D259" s="18" t="s">
        <v>8</v>
      </c>
      <c r="E259" s="61" t="s">
        <v>255</v>
      </c>
      <c r="F259" s="59"/>
      <c r="G259" s="43">
        <f aca="true" t="shared" si="30" ref="G259:I261">G260</f>
        <v>3052100</v>
      </c>
      <c r="H259" s="43">
        <f t="shared" si="30"/>
        <v>3044140.4</v>
      </c>
      <c r="I259" s="43">
        <f t="shared" si="30"/>
        <v>3045332.4</v>
      </c>
    </row>
    <row r="260" spans="1:9" s="66" customFormat="1" ht="33">
      <c r="A260" s="40" t="s">
        <v>512</v>
      </c>
      <c r="B260" s="23">
        <v>904</v>
      </c>
      <c r="C260" s="19" t="s">
        <v>8</v>
      </c>
      <c r="D260" s="18" t="s">
        <v>8</v>
      </c>
      <c r="E260" s="18" t="s">
        <v>274</v>
      </c>
      <c r="F260" s="59"/>
      <c r="G260" s="43">
        <f>G261</f>
        <v>3052100</v>
      </c>
      <c r="H260" s="43">
        <f t="shared" si="30"/>
        <v>3044140.4</v>
      </c>
      <c r="I260" s="43">
        <f t="shared" si="30"/>
        <v>3045332.4</v>
      </c>
    </row>
    <row r="261" spans="1:9" s="66" customFormat="1" ht="16.5">
      <c r="A261" s="40" t="s">
        <v>384</v>
      </c>
      <c r="B261" s="23">
        <v>904</v>
      </c>
      <c r="C261" s="19" t="s">
        <v>8</v>
      </c>
      <c r="D261" s="18" t="s">
        <v>8</v>
      </c>
      <c r="E261" s="18" t="s">
        <v>385</v>
      </c>
      <c r="F261" s="59"/>
      <c r="G261" s="43">
        <f>G262</f>
        <v>3052100</v>
      </c>
      <c r="H261" s="43">
        <f t="shared" si="30"/>
        <v>3044140.4</v>
      </c>
      <c r="I261" s="43">
        <f t="shared" si="30"/>
        <v>3045332.4</v>
      </c>
    </row>
    <row r="262" spans="1:9" s="66" customFormat="1" ht="49.5">
      <c r="A262" s="40" t="s">
        <v>486</v>
      </c>
      <c r="B262" s="23">
        <v>904</v>
      </c>
      <c r="C262" s="19" t="s">
        <v>8</v>
      </c>
      <c r="D262" s="18" t="s">
        <v>8</v>
      </c>
      <c r="E262" s="18" t="s">
        <v>386</v>
      </c>
      <c r="F262" s="59"/>
      <c r="G262" s="43">
        <f>G263</f>
        <v>3052100</v>
      </c>
      <c r="H262" s="43">
        <f>H263</f>
        <v>3044140.4</v>
      </c>
      <c r="I262" s="43">
        <f>I263</f>
        <v>3045332.4</v>
      </c>
    </row>
    <row r="263" spans="1:9" s="66" customFormat="1" ht="16.5">
      <c r="A263" s="40" t="s">
        <v>150</v>
      </c>
      <c r="B263" s="23">
        <v>904</v>
      </c>
      <c r="C263" s="19" t="s">
        <v>8</v>
      </c>
      <c r="D263" s="18" t="s">
        <v>8</v>
      </c>
      <c r="E263" s="18" t="s">
        <v>386</v>
      </c>
      <c r="F263" s="59">
        <v>620</v>
      </c>
      <c r="G263" s="43">
        <v>3052100</v>
      </c>
      <c r="H263" s="43">
        <f>3052100-7959.6</f>
        <v>3044140.4</v>
      </c>
      <c r="I263" s="43">
        <f>3052100-6767.6</f>
        <v>3045332.4</v>
      </c>
    </row>
    <row r="264" spans="1:9" ht="16.5">
      <c r="A264" s="41" t="s">
        <v>54</v>
      </c>
      <c r="B264" s="23">
        <v>904</v>
      </c>
      <c r="C264" s="19" t="s">
        <v>8</v>
      </c>
      <c r="D264" s="18" t="s">
        <v>10</v>
      </c>
      <c r="E264" s="19"/>
      <c r="F264" s="19"/>
      <c r="G264" s="42">
        <f>G265+G294+G301+G305+G289</f>
        <v>34642300</v>
      </c>
      <c r="H264" s="42">
        <f>H265+H294+H301+H305+H289</f>
        <v>34808300</v>
      </c>
      <c r="I264" s="42">
        <f>I265+I294+I301+I305+I289</f>
        <v>35000300</v>
      </c>
    </row>
    <row r="265" spans="1:9" s="66" customFormat="1" ht="33">
      <c r="A265" s="41" t="s">
        <v>1130</v>
      </c>
      <c r="B265" s="23">
        <v>904</v>
      </c>
      <c r="C265" s="19" t="s">
        <v>8</v>
      </c>
      <c r="D265" s="18" t="s">
        <v>10</v>
      </c>
      <c r="E265" s="61" t="s">
        <v>253</v>
      </c>
      <c r="F265" s="59"/>
      <c r="G265" s="43">
        <f>G266+G281+G285</f>
        <v>27789300</v>
      </c>
      <c r="H265" s="43">
        <f>H266+H281+H285</f>
        <v>27785300</v>
      </c>
      <c r="I265" s="43">
        <f>I266+I281+I285</f>
        <v>27795300</v>
      </c>
    </row>
    <row r="266" spans="1:9" s="66" customFormat="1" ht="33">
      <c r="A266" s="41" t="s">
        <v>509</v>
      </c>
      <c r="B266" s="23">
        <v>904</v>
      </c>
      <c r="C266" s="19" t="s">
        <v>8</v>
      </c>
      <c r="D266" s="18" t="s">
        <v>10</v>
      </c>
      <c r="E266" s="18" t="s">
        <v>261</v>
      </c>
      <c r="F266" s="59"/>
      <c r="G266" s="43">
        <f>G267+G271</f>
        <v>27584300</v>
      </c>
      <c r="H266" s="43">
        <f>H267+H271</f>
        <v>27590300</v>
      </c>
      <c r="I266" s="43">
        <f>I267+I271</f>
        <v>27590300</v>
      </c>
    </row>
    <row r="267" spans="1:9" s="66" customFormat="1" ht="33">
      <c r="A267" s="41" t="s">
        <v>244</v>
      </c>
      <c r="B267" s="23">
        <v>904</v>
      </c>
      <c r="C267" s="19" t="s">
        <v>8</v>
      </c>
      <c r="D267" s="19" t="s">
        <v>10</v>
      </c>
      <c r="E267" s="18" t="s">
        <v>289</v>
      </c>
      <c r="F267" s="59"/>
      <c r="G267" s="43">
        <f>G268</f>
        <v>165000</v>
      </c>
      <c r="H267" s="43">
        <f>H268</f>
        <v>160000</v>
      </c>
      <c r="I267" s="43">
        <f>I268</f>
        <v>160000</v>
      </c>
    </row>
    <row r="268" spans="1:9" s="66" customFormat="1" ht="16.5">
      <c r="A268" s="41" t="s">
        <v>183</v>
      </c>
      <c r="B268" s="23">
        <v>904</v>
      </c>
      <c r="C268" s="19" t="s">
        <v>8</v>
      </c>
      <c r="D268" s="18" t="s">
        <v>10</v>
      </c>
      <c r="E268" s="18" t="s">
        <v>293</v>
      </c>
      <c r="F268" s="59"/>
      <c r="G268" s="43">
        <f>G269+G270</f>
        <v>165000</v>
      </c>
      <c r="H268" s="43">
        <f>H269+H270</f>
        <v>160000</v>
      </c>
      <c r="I268" s="43">
        <f>I269+I270</f>
        <v>160000</v>
      </c>
    </row>
    <row r="269" spans="1:9" s="66" customFormat="1" ht="33" hidden="1">
      <c r="A269" s="41" t="s">
        <v>127</v>
      </c>
      <c r="B269" s="23">
        <v>904</v>
      </c>
      <c r="C269" s="19" t="s">
        <v>8</v>
      </c>
      <c r="D269" s="18" t="s">
        <v>10</v>
      </c>
      <c r="E269" s="18" t="s">
        <v>293</v>
      </c>
      <c r="F269" s="59">
        <v>120</v>
      </c>
      <c r="G269" s="43">
        <f>60000-60000</f>
        <v>0</v>
      </c>
      <c r="H269" s="43">
        <f>55000-55000</f>
        <v>0</v>
      </c>
      <c r="I269" s="43">
        <f>60000-60000</f>
        <v>0</v>
      </c>
    </row>
    <row r="270" spans="1:9" s="66" customFormat="1" ht="33">
      <c r="A270" s="41" t="s">
        <v>130</v>
      </c>
      <c r="B270" s="23">
        <v>904</v>
      </c>
      <c r="C270" s="19" t="s">
        <v>8</v>
      </c>
      <c r="D270" s="18" t="s">
        <v>10</v>
      </c>
      <c r="E270" s="18" t="s">
        <v>293</v>
      </c>
      <c r="F270" s="59">
        <v>240</v>
      </c>
      <c r="G270" s="43">
        <v>165000</v>
      </c>
      <c r="H270" s="43">
        <v>160000</v>
      </c>
      <c r="I270" s="43">
        <v>160000</v>
      </c>
    </row>
    <row r="271" spans="1:9" s="66" customFormat="1" ht="16.5">
      <c r="A271" s="41" t="s">
        <v>245</v>
      </c>
      <c r="B271" s="23">
        <v>904</v>
      </c>
      <c r="C271" s="19" t="s">
        <v>8</v>
      </c>
      <c r="D271" s="18" t="s">
        <v>10</v>
      </c>
      <c r="E271" s="18" t="s">
        <v>295</v>
      </c>
      <c r="F271" s="59"/>
      <c r="G271" s="43">
        <f>G277+G272</f>
        <v>27419300</v>
      </c>
      <c r="H271" s="43">
        <f>H277+H272</f>
        <v>27430300</v>
      </c>
      <c r="I271" s="43">
        <f>I277+I272</f>
        <v>27430300</v>
      </c>
    </row>
    <row r="272" spans="1:9" s="66" customFormat="1" ht="49.5">
      <c r="A272" s="41" t="s">
        <v>157</v>
      </c>
      <c r="B272" s="23">
        <v>904</v>
      </c>
      <c r="C272" s="19" t="s">
        <v>8</v>
      </c>
      <c r="D272" s="18" t="s">
        <v>10</v>
      </c>
      <c r="E272" s="18" t="s">
        <v>297</v>
      </c>
      <c r="F272" s="59"/>
      <c r="G272" s="43">
        <f>G273+G274+G275+G276</f>
        <v>20608400</v>
      </c>
      <c r="H272" s="43">
        <f>H273+H274+H275+H276</f>
        <v>20608400</v>
      </c>
      <c r="I272" s="43">
        <f>I273+I274+I275+I276</f>
        <v>20608400</v>
      </c>
    </row>
    <row r="273" spans="1:9" s="66" customFormat="1" ht="33">
      <c r="A273" s="41" t="s">
        <v>127</v>
      </c>
      <c r="B273" s="23">
        <v>904</v>
      </c>
      <c r="C273" s="19" t="s">
        <v>8</v>
      </c>
      <c r="D273" s="18" t="s">
        <v>10</v>
      </c>
      <c r="E273" s="18" t="s">
        <v>297</v>
      </c>
      <c r="F273" s="59">
        <v>120</v>
      </c>
      <c r="G273" s="43">
        <v>18229700</v>
      </c>
      <c r="H273" s="43">
        <v>18229700</v>
      </c>
      <c r="I273" s="43">
        <v>18229700</v>
      </c>
    </row>
    <row r="274" spans="1:9" s="66" customFormat="1" ht="33">
      <c r="A274" s="41" t="s">
        <v>130</v>
      </c>
      <c r="B274" s="23">
        <v>904</v>
      </c>
      <c r="C274" s="19" t="s">
        <v>8</v>
      </c>
      <c r="D274" s="18" t="s">
        <v>10</v>
      </c>
      <c r="E274" s="18" t="s">
        <v>297</v>
      </c>
      <c r="F274" s="59">
        <v>240</v>
      </c>
      <c r="G274" s="43">
        <v>2317350</v>
      </c>
      <c r="H274" s="43">
        <v>2317350</v>
      </c>
      <c r="I274" s="43">
        <v>2317350</v>
      </c>
    </row>
    <row r="275" spans="1:9" s="66" customFormat="1" ht="16.5">
      <c r="A275" s="41" t="s">
        <v>194</v>
      </c>
      <c r="B275" s="23">
        <v>904</v>
      </c>
      <c r="C275" s="19" t="s">
        <v>8</v>
      </c>
      <c r="D275" s="18" t="s">
        <v>10</v>
      </c>
      <c r="E275" s="18" t="s">
        <v>297</v>
      </c>
      <c r="F275" s="59">
        <v>830</v>
      </c>
      <c r="G275" s="43">
        <v>12000</v>
      </c>
      <c r="H275" s="43">
        <v>12000</v>
      </c>
      <c r="I275" s="43">
        <v>12000</v>
      </c>
    </row>
    <row r="276" spans="1:9" s="66" customFormat="1" ht="16.5">
      <c r="A276" s="41" t="s">
        <v>132</v>
      </c>
      <c r="B276" s="23">
        <v>904</v>
      </c>
      <c r="C276" s="19" t="s">
        <v>8</v>
      </c>
      <c r="D276" s="18" t="s">
        <v>10</v>
      </c>
      <c r="E276" s="18" t="s">
        <v>297</v>
      </c>
      <c r="F276" s="59">
        <v>850</v>
      </c>
      <c r="G276" s="43">
        <v>49350</v>
      </c>
      <c r="H276" s="43">
        <v>49350</v>
      </c>
      <c r="I276" s="43">
        <v>49350</v>
      </c>
    </row>
    <row r="277" spans="1:9" s="66" customFormat="1" ht="16.5">
      <c r="A277" s="41" t="s">
        <v>129</v>
      </c>
      <c r="B277" s="23">
        <v>904</v>
      </c>
      <c r="C277" s="19" t="s">
        <v>8</v>
      </c>
      <c r="D277" s="18" t="s">
        <v>10</v>
      </c>
      <c r="E277" s="18" t="s">
        <v>296</v>
      </c>
      <c r="F277" s="59"/>
      <c r="G277" s="43">
        <f>G278+G279+G280</f>
        <v>6810900</v>
      </c>
      <c r="H277" s="43">
        <f>H278+H279+H280</f>
        <v>6821900</v>
      </c>
      <c r="I277" s="43">
        <f>I278+I279+I280</f>
        <v>6821900</v>
      </c>
    </row>
    <row r="278" spans="1:9" s="66" customFormat="1" ht="33">
      <c r="A278" s="41" t="s">
        <v>127</v>
      </c>
      <c r="B278" s="23">
        <v>904</v>
      </c>
      <c r="C278" s="19" t="s">
        <v>8</v>
      </c>
      <c r="D278" s="18" t="s">
        <v>10</v>
      </c>
      <c r="E278" s="18" t="s">
        <v>296</v>
      </c>
      <c r="F278" s="59">
        <v>120</v>
      </c>
      <c r="G278" s="43">
        <v>6506600</v>
      </c>
      <c r="H278" s="43">
        <v>6517600</v>
      </c>
      <c r="I278" s="43">
        <v>6517600</v>
      </c>
    </row>
    <row r="279" spans="1:9" s="66" customFormat="1" ht="33">
      <c r="A279" s="41" t="s">
        <v>130</v>
      </c>
      <c r="B279" s="23">
        <v>904</v>
      </c>
      <c r="C279" s="19" t="s">
        <v>8</v>
      </c>
      <c r="D279" s="18" t="s">
        <v>10</v>
      </c>
      <c r="E279" s="18" t="s">
        <v>296</v>
      </c>
      <c r="F279" s="59">
        <v>240</v>
      </c>
      <c r="G279" s="43">
        <v>304300</v>
      </c>
      <c r="H279" s="43">
        <v>304300</v>
      </c>
      <c r="I279" s="43">
        <v>304300</v>
      </c>
    </row>
    <row r="280" spans="1:9" s="66" customFormat="1" ht="16.5" hidden="1">
      <c r="A280" s="41" t="s">
        <v>132</v>
      </c>
      <c r="B280" s="23">
        <v>904</v>
      </c>
      <c r="C280" s="19" t="s">
        <v>8</v>
      </c>
      <c r="D280" s="18" t="s">
        <v>10</v>
      </c>
      <c r="E280" s="18" t="s">
        <v>296</v>
      </c>
      <c r="F280" s="59">
        <v>850</v>
      </c>
      <c r="G280" s="43"/>
      <c r="H280" s="43"/>
      <c r="I280" s="43"/>
    </row>
    <row r="281" spans="1:9" s="66" customFormat="1" ht="33">
      <c r="A281" s="41" t="s">
        <v>510</v>
      </c>
      <c r="B281" s="23">
        <v>904</v>
      </c>
      <c r="C281" s="19" t="s">
        <v>8</v>
      </c>
      <c r="D281" s="18" t="s">
        <v>10</v>
      </c>
      <c r="E281" s="18" t="s">
        <v>262</v>
      </c>
      <c r="F281" s="59"/>
      <c r="G281" s="43">
        <f aca="true" t="shared" si="31" ref="G281:I283">G282</f>
        <v>170000</v>
      </c>
      <c r="H281" s="43">
        <f t="shared" si="31"/>
        <v>160000</v>
      </c>
      <c r="I281" s="43">
        <f t="shared" si="31"/>
        <v>170000</v>
      </c>
    </row>
    <row r="282" spans="1:9" s="66" customFormat="1" ht="16.5">
      <c r="A282" s="41" t="s">
        <v>247</v>
      </c>
      <c r="B282" s="23">
        <v>904</v>
      </c>
      <c r="C282" s="19" t="s">
        <v>8</v>
      </c>
      <c r="D282" s="18" t="s">
        <v>10</v>
      </c>
      <c r="E282" s="18" t="s">
        <v>302</v>
      </c>
      <c r="F282" s="59"/>
      <c r="G282" s="43">
        <f t="shared" si="31"/>
        <v>170000</v>
      </c>
      <c r="H282" s="43">
        <f t="shared" si="31"/>
        <v>160000</v>
      </c>
      <c r="I282" s="43">
        <f t="shared" si="31"/>
        <v>170000</v>
      </c>
    </row>
    <row r="283" spans="1:9" s="66" customFormat="1" ht="16.5">
      <c r="A283" s="41" t="s">
        <v>183</v>
      </c>
      <c r="B283" s="23">
        <v>904</v>
      </c>
      <c r="C283" s="19" t="s">
        <v>8</v>
      </c>
      <c r="D283" s="18" t="s">
        <v>10</v>
      </c>
      <c r="E283" s="18" t="s">
        <v>303</v>
      </c>
      <c r="F283" s="59"/>
      <c r="G283" s="43">
        <f t="shared" si="31"/>
        <v>170000</v>
      </c>
      <c r="H283" s="43">
        <f t="shared" si="31"/>
        <v>160000</v>
      </c>
      <c r="I283" s="43">
        <f t="shared" si="31"/>
        <v>170000</v>
      </c>
    </row>
    <row r="284" spans="1:9" s="66" customFormat="1" ht="33">
      <c r="A284" s="41" t="s">
        <v>130</v>
      </c>
      <c r="B284" s="23">
        <v>904</v>
      </c>
      <c r="C284" s="19" t="s">
        <v>8</v>
      </c>
      <c r="D284" s="18" t="s">
        <v>10</v>
      </c>
      <c r="E284" s="18" t="s">
        <v>303</v>
      </c>
      <c r="F284" s="59">
        <v>240</v>
      </c>
      <c r="G284" s="43">
        <v>170000</v>
      </c>
      <c r="H284" s="43">
        <v>160000</v>
      </c>
      <c r="I284" s="43">
        <v>170000</v>
      </c>
    </row>
    <row r="285" spans="1:9" s="66" customFormat="1" ht="16.5">
      <c r="A285" s="41" t="s">
        <v>511</v>
      </c>
      <c r="B285" s="23">
        <v>904</v>
      </c>
      <c r="C285" s="19" t="s">
        <v>8</v>
      </c>
      <c r="D285" s="18" t="s">
        <v>10</v>
      </c>
      <c r="E285" s="18" t="s">
        <v>263</v>
      </c>
      <c r="F285" s="59"/>
      <c r="G285" s="43">
        <f aca="true" t="shared" si="32" ref="G285:I287">G286</f>
        <v>35000</v>
      </c>
      <c r="H285" s="43">
        <f t="shared" si="32"/>
        <v>35000</v>
      </c>
      <c r="I285" s="43">
        <f t="shared" si="32"/>
        <v>35000</v>
      </c>
    </row>
    <row r="286" spans="1:9" s="66" customFormat="1" ht="33">
      <c r="A286" s="41" t="s">
        <v>306</v>
      </c>
      <c r="B286" s="23">
        <v>904</v>
      </c>
      <c r="C286" s="19" t="s">
        <v>8</v>
      </c>
      <c r="D286" s="18" t="s">
        <v>10</v>
      </c>
      <c r="E286" s="18" t="s">
        <v>305</v>
      </c>
      <c r="F286" s="59"/>
      <c r="G286" s="43">
        <f t="shared" si="32"/>
        <v>35000</v>
      </c>
      <c r="H286" s="43">
        <f t="shared" si="32"/>
        <v>35000</v>
      </c>
      <c r="I286" s="43">
        <f t="shared" si="32"/>
        <v>35000</v>
      </c>
    </row>
    <row r="287" spans="1:9" s="66" customFormat="1" ht="16.5">
      <c r="A287" s="41" t="s">
        <v>156</v>
      </c>
      <c r="B287" s="23">
        <v>904</v>
      </c>
      <c r="C287" s="19" t="s">
        <v>8</v>
      </c>
      <c r="D287" s="18" t="s">
        <v>10</v>
      </c>
      <c r="E287" s="18" t="s">
        <v>464</v>
      </c>
      <c r="F287" s="59"/>
      <c r="G287" s="43">
        <f t="shared" si="32"/>
        <v>35000</v>
      </c>
      <c r="H287" s="43">
        <f t="shared" si="32"/>
        <v>35000</v>
      </c>
      <c r="I287" s="43">
        <f t="shared" si="32"/>
        <v>35000</v>
      </c>
    </row>
    <row r="288" spans="1:9" s="66" customFormat="1" ht="33">
      <c r="A288" s="41" t="s">
        <v>130</v>
      </c>
      <c r="B288" s="23">
        <v>904</v>
      </c>
      <c r="C288" s="19" t="s">
        <v>8</v>
      </c>
      <c r="D288" s="18" t="s">
        <v>10</v>
      </c>
      <c r="E288" s="18" t="s">
        <v>464</v>
      </c>
      <c r="F288" s="59">
        <v>240</v>
      </c>
      <c r="G288" s="43">
        <v>35000</v>
      </c>
      <c r="H288" s="43">
        <v>35000</v>
      </c>
      <c r="I288" s="43">
        <v>35000</v>
      </c>
    </row>
    <row r="289" spans="1:9" s="66" customFormat="1" ht="16.5">
      <c r="A289" s="41" t="s">
        <v>1125</v>
      </c>
      <c r="B289" s="23">
        <v>904</v>
      </c>
      <c r="C289" s="19" t="s">
        <v>8</v>
      </c>
      <c r="D289" s="18" t="s">
        <v>10</v>
      </c>
      <c r="E289" s="61" t="s">
        <v>221</v>
      </c>
      <c r="F289" s="59"/>
      <c r="G289" s="43">
        <f aca="true" t="shared" si="33" ref="G289:I292">G290</f>
        <v>9000</v>
      </c>
      <c r="H289" s="43">
        <f t="shared" si="33"/>
        <v>9000</v>
      </c>
      <c r="I289" s="43">
        <f t="shared" si="33"/>
        <v>9000</v>
      </c>
    </row>
    <row r="290" spans="1:9" s="66" customFormat="1" ht="16.5">
      <c r="A290" s="76" t="s">
        <v>252</v>
      </c>
      <c r="B290" s="23">
        <v>904</v>
      </c>
      <c r="C290" s="19" t="s">
        <v>8</v>
      </c>
      <c r="D290" s="18" t="s">
        <v>10</v>
      </c>
      <c r="E290" s="18" t="s">
        <v>266</v>
      </c>
      <c r="F290" s="59"/>
      <c r="G290" s="43">
        <f t="shared" si="33"/>
        <v>9000</v>
      </c>
      <c r="H290" s="43">
        <f t="shared" si="33"/>
        <v>9000</v>
      </c>
      <c r="I290" s="43">
        <f t="shared" si="33"/>
        <v>9000</v>
      </c>
    </row>
    <row r="291" spans="1:9" s="66" customFormat="1" ht="33">
      <c r="A291" s="69" t="s">
        <v>446</v>
      </c>
      <c r="B291" s="23">
        <v>904</v>
      </c>
      <c r="C291" s="19" t="s">
        <v>8</v>
      </c>
      <c r="D291" s="18" t="s">
        <v>10</v>
      </c>
      <c r="E291" s="18" t="s">
        <v>366</v>
      </c>
      <c r="F291" s="59"/>
      <c r="G291" s="43">
        <f t="shared" si="33"/>
        <v>9000</v>
      </c>
      <c r="H291" s="43">
        <f t="shared" si="33"/>
        <v>9000</v>
      </c>
      <c r="I291" s="43">
        <f t="shared" si="33"/>
        <v>9000</v>
      </c>
    </row>
    <row r="292" spans="1:9" s="66" customFormat="1" ht="33">
      <c r="A292" s="69" t="s">
        <v>206</v>
      </c>
      <c r="B292" s="23">
        <v>904</v>
      </c>
      <c r="C292" s="19" t="s">
        <v>8</v>
      </c>
      <c r="D292" s="18" t="s">
        <v>10</v>
      </c>
      <c r="E292" s="18" t="s">
        <v>367</v>
      </c>
      <c r="F292" s="59"/>
      <c r="G292" s="43">
        <f t="shared" si="33"/>
        <v>9000</v>
      </c>
      <c r="H292" s="43">
        <f t="shared" si="33"/>
        <v>9000</v>
      </c>
      <c r="I292" s="43">
        <f t="shared" si="33"/>
        <v>9000</v>
      </c>
    </row>
    <row r="293" spans="1:9" s="66" customFormat="1" ht="33">
      <c r="A293" s="41" t="s">
        <v>130</v>
      </c>
      <c r="B293" s="23">
        <v>904</v>
      </c>
      <c r="C293" s="19" t="s">
        <v>8</v>
      </c>
      <c r="D293" s="18" t="s">
        <v>10</v>
      </c>
      <c r="E293" s="18" t="s">
        <v>367</v>
      </c>
      <c r="F293" s="59">
        <v>240</v>
      </c>
      <c r="G293" s="43">
        <v>9000</v>
      </c>
      <c r="H293" s="43">
        <v>9000</v>
      </c>
      <c r="I293" s="43">
        <v>9000</v>
      </c>
    </row>
    <row r="294" spans="1:9" s="66" customFormat="1" ht="16.5">
      <c r="A294" s="41" t="s">
        <v>1129</v>
      </c>
      <c r="B294" s="23">
        <v>904</v>
      </c>
      <c r="C294" s="19" t="s">
        <v>8</v>
      </c>
      <c r="D294" s="18" t="s">
        <v>10</v>
      </c>
      <c r="E294" s="61" t="s">
        <v>255</v>
      </c>
      <c r="F294" s="59"/>
      <c r="G294" s="43">
        <f aca="true" t="shared" si="34" ref="G294:I296">G295</f>
        <v>6779000</v>
      </c>
      <c r="H294" s="43">
        <f t="shared" si="34"/>
        <v>6949000</v>
      </c>
      <c r="I294" s="43">
        <f t="shared" si="34"/>
        <v>7131000</v>
      </c>
    </row>
    <row r="295" spans="1:9" s="66" customFormat="1" ht="33">
      <c r="A295" s="40" t="s">
        <v>513</v>
      </c>
      <c r="B295" s="23">
        <v>904</v>
      </c>
      <c r="C295" s="19" t="s">
        <v>8</v>
      </c>
      <c r="D295" s="18" t="s">
        <v>10</v>
      </c>
      <c r="E295" s="18" t="s">
        <v>275</v>
      </c>
      <c r="F295" s="59"/>
      <c r="G295" s="43">
        <f t="shared" si="34"/>
        <v>6779000</v>
      </c>
      <c r="H295" s="43">
        <f t="shared" si="34"/>
        <v>6949000</v>
      </c>
      <c r="I295" s="43">
        <f t="shared" si="34"/>
        <v>7131000</v>
      </c>
    </row>
    <row r="296" spans="1:9" s="66" customFormat="1" ht="33">
      <c r="A296" s="40" t="s">
        <v>377</v>
      </c>
      <c r="B296" s="23">
        <v>904</v>
      </c>
      <c r="C296" s="19" t="s">
        <v>8</v>
      </c>
      <c r="D296" s="18" t="s">
        <v>10</v>
      </c>
      <c r="E296" s="18" t="s">
        <v>376</v>
      </c>
      <c r="F296" s="59"/>
      <c r="G296" s="43">
        <f>G297</f>
        <v>6779000</v>
      </c>
      <c r="H296" s="43">
        <f t="shared" si="34"/>
        <v>6949000</v>
      </c>
      <c r="I296" s="43">
        <f t="shared" si="34"/>
        <v>7131000</v>
      </c>
    </row>
    <row r="297" spans="1:9" s="66" customFormat="1" ht="33">
      <c r="A297" s="40" t="s">
        <v>187</v>
      </c>
      <c r="B297" s="23">
        <v>904</v>
      </c>
      <c r="C297" s="19" t="s">
        <v>8</v>
      </c>
      <c r="D297" s="18" t="s">
        <v>10</v>
      </c>
      <c r="E297" s="18" t="s">
        <v>378</v>
      </c>
      <c r="F297" s="59"/>
      <c r="G297" s="43">
        <f>G298+G299+G300</f>
        <v>6779000</v>
      </c>
      <c r="H297" s="43">
        <f>H298+H299+H300</f>
        <v>6949000</v>
      </c>
      <c r="I297" s="43">
        <f>I298+I299+I300</f>
        <v>7131000</v>
      </c>
    </row>
    <row r="298" spans="1:9" s="66" customFormat="1" ht="33">
      <c r="A298" s="41" t="s">
        <v>127</v>
      </c>
      <c r="B298" s="23">
        <v>904</v>
      </c>
      <c r="C298" s="19" t="s">
        <v>8</v>
      </c>
      <c r="D298" s="18" t="s">
        <v>10</v>
      </c>
      <c r="E298" s="18" t="s">
        <v>378</v>
      </c>
      <c r="F298" s="59">
        <v>120</v>
      </c>
      <c r="G298" s="43">
        <v>5609000</v>
      </c>
      <c r="H298" s="43">
        <v>5779000</v>
      </c>
      <c r="I298" s="43">
        <v>5961000</v>
      </c>
    </row>
    <row r="299" spans="1:9" s="66" customFormat="1" ht="33">
      <c r="A299" s="41" t="s">
        <v>130</v>
      </c>
      <c r="B299" s="23">
        <v>904</v>
      </c>
      <c r="C299" s="19" t="s">
        <v>8</v>
      </c>
      <c r="D299" s="18" t="s">
        <v>10</v>
      </c>
      <c r="E299" s="18" t="s">
        <v>378</v>
      </c>
      <c r="F299" s="59">
        <v>240</v>
      </c>
      <c r="G299" s="43">
        <v>1160000</v>
      </c>
      <c r="H299" s="43">
        <v>1160000</v>
      </c>
      <c r="I299" s="43">
        <v>1160000</v>
      </c>
    </row>
    <row r="300" spans="1:9" s="66" customFormat="1" ht="16.5">
      <c r="A300" s="41" t="s">
        <v>194</v>
      </c>
      <c r="B300" s="23">
        <v>904</v>
      </c>
      <c r="C300" s="19" t="s">
        <v>8</v>
      </c>
      <c r="D300" s="18" t="s">
        <v>10</v>
      </c>
      <c r="E300" s="18" t="s">
        <v>378</v>
      </c>
      <c r="F300" s="59">
        <v>830</v>
      </c>
      <c r="G300" s="43">
        <v>10000</v>
      </c>
      <c r="H300" s="43">
        <v>10000</v>
      </c>
      <c r="I300" s="43">
        <v>10000</v>
      </c>
    </row>
    <row r="301" spans="1:9" s="66" customFormat="1" ht="49.5">
      <c r="A301" s="40" t="s">
        <v>1132</v>
      </c>
      <c r="B301" s="23">
        <v>904</v>
      </c>
      <c r="C301" s="19" t="s">
        <v>8</v>
      </c>
      <c r="D301" s="18" t="s">
        <v>10</v>
      </c>
      <c r="E301" s="61" t="s">
        <v>257</v>
      </c>
      <c r="F301" s="59"/>
      <c r="G301" s="43">
        <f aca="true" t="shared" si="35" ref="G301:I303">G302</f>
        <v>15000</v>
      </c>
      <c r="H301" s="43">
        <f t="shared" si="35"/>
        <v>15000</v>
      </c>
      <c r="I301" s="43">
        <f t="shared" si="35"/>
        <v>15000</v>
      </c>
    </row>
    <row r="302" spans="1:9" s="66" customFormat="1" ht="16.5">
      <c r="A302" s="40" t="s">
        <v>454</v>
      </c>
      <c r="B302" s="23">
        <v>904</v>
      </c>
      <c r="C302" s="19" t="s">
        <v>8</v>
      </c>
      <c r="D302" s="18" t="s">
        <v>10</v>
      </c>
      <c r="E302" s="18" t="s">
        <v>397</v>
      </c>
      <c r="F302" s="59"/>
      <c r="G302" s="43">
        <f t="shared" si="35"/>
        <v>15000</v>
      </c>
      <c r="H302" s="43">
        <f t="shared" si="35"/>
        <v>15000</v>
      </c>
      <c r="I302" s="43">
        <f t="shared" si="35"/>
        <v>15000</v>
      </c>
    </row>
    <row r="303" spans="1:9" s="66" customFormat="1" ht="33">
      <c r="A303" s="40" t="s">
        <v>160</v>
      </c>
      <c r="B303" s="23">
        <v>904</v>
      </c>
      <c r="C303" s="19" t="s">
        <v>8</v>
      </c>
      <c r="D303" s="18" t="s">
        <v>10</v>
      </c>
      <c r="E303" s="18" t="s">
        <v>398</v>
      </c>
      <c r="F303" s="59"/>
      <c r="G303" s="43">
        <f t="shared" si="35"/>
        <v>15000</v>
      </c>
      <c r="H303" s="43">
        <f t="shared" si="35"/>
        <v>15000</v>
      </c>
      <c r="I303" s="43">
        <f t="shared" si="35"/>
        <v>15000</v>
      </c>
    </row>
    <row r="304" spans="1:9" s="66" customFormat="1" ht="33">
      <c r="A304" s="41" t="s">
        <v>130</v>
      </c>
      <c r="B304" s="23">
        <v>904</v>
      </c>
      <c r="C304" s="19" t="s">
        <v>8</v>
      </c>
      <c r="D304" s="18" t="s">
        <v>10</v>
      </c>
      <c r="E304" s="18" t="s">
        <v>398</v>
      </c>
      <c r="F304" s="59">
        <v>240</v>
      </c>
      <c r="G304" s="43">
        <v>15000</v>
      </c>
      <c r="H304" s="43">
        <v>15000</v>
      </c>
      <c r="I304" s="43">
        <v>15000</v>
      </c>
    </row>
    <row r="305" spans="1:9" s="66" customFormat="1" ht="33">
      <c r="A305" s="41" t="s">
        <v>1126</v>
      </c>
      <c r="B305" s="23">
        <v>904</v>
      </c>
      <c r="C305" s="19" t="s">
        <v>8</v>
      </c>
      <c r="D305" s="18" t="s">
        <v>10</v>
      </c>
      <c r="E305" s="61" t="s">
        <v>222</v>
      </c>
      <c r="F305" s="59"/>
      <c r="G305" s="43">
        <f>G306</f>
        <v>50000</v>
      </c>
      <c r="H305" s="43">
        <f>H306</f>
        <v>50000</v>
      </c>
      <c r="I305" s="43">
        <f>I306</f>
        <v>50000</v>
      </c>
    </row>
    <row r="306" spans="1:9" s="66" customFormat="1" ht="16.5">
      <c r="A306" s="41" t="s">
        <v>514</v>
      </c>
      <c r="B306" s="23">
        <v>904</v>
      </c>
      <c r="C306" s="19" t="s">
        <v>8</v>
      </c>
      <c r="D306" s="18" t="s">
        <v>10</v>
      </c>
      <c r="E306" s="18" t="s">
        <v>272</v>
      </c>
      <c r="F306" s="59"/>
      <c r="G306" s="43">
        <f aca="true" t="shared" si="36" ref="G306:I308">G307</f>
        <v>50000</v>
      </c>
      <c r="H306" s="43">
        <f t="shared" si="36"/>
        <v>50000</v>
      </c>
      <c r="I306" s="43">
        <f t="shared" si="36"/>
        <v>50000</v>
      </c>
    </row>
    <row r="307" spans="1:9" s="66" customFormat="1" ht="16.5">
      <c r="A307" s="41" t="s">
        <v>402</v>
      </c>
      <c r="B307" s="23">
        <v>904</v>
      </c>
      <c r="C307" s="19" t="s">
        <v>8</v>
      </c>
      <c r="D307" s="18" t="s">
        <v>10</v>
      </c>
      <c r="E307" s="18" t="s">
        <v>403</v>
      </c>
      <c r="F307" s="59"/>
      <c r="G307" s="43">
        <f t="shared" si="36"/>
        <v>50000</v>
      </c>
      <c r="H307" s="43">
        <f t="shared" si="36"/>
        <v>50000</v>
      </c>
      <c r="I307" s="43">
        <f t="shared" si="36"/>
        <v>50000</v>
      </c>
    </row>
    <row r="308" spans="1:9" s="66" customFormat="1" ht="16.5">
      <c r="A308" s="41" t="s">
        <v>404</v>
      </c>
      <c r="B308" s="23">
        <v>904</v>
      </c>
      <c r="C308" s="19" t="s">
        <v>8</v>
      </c>
      <c r="D308" s="18" t="s">
        <v>10</v>
      </c>
      <c r="E308" s="18" t="s">
        <v>405</v>
      </c>
      <c r="F308" s="59"/>
      <c r="G308" s="43">
        <f t="shared" si="36"/>
        <v>50000</v>
      </c>
      <c r="H308" s="43">
        <f t="shared" si="36"/>
        <v>50000</v>
      </c>
      <c r="I308" s="43">
        <f t="shared" si="36"/>
        <v>50000</v>
      </c>
    </row>
    <row r="309" spans="1:9" s="66" customFormat="1" ht="33">
      <c r="A309" s="41" t="s">
        <v>130</v>
      </c>
      <c r="B309" s="23">
        <v>904</v>
      </c>
      <c r="C309" s="19" t="s">
        <v>8</v>
      </c>
      <c r="D309" s="18" t="s">
        <v>10</v>
      </c>
      <c r="E309" s="18" t="s">
        <v>405</v>
      </c>
      <c r="F309" s="59">
        <v>240</v>
      </c>
      <c r="G309" s="43">
        <v>50000</v>
      </c>
      <c r="H309" s="43">
        <v>50000</v>
      </c>
      <c r="I309" s="43">
        <v>50000</v>
      </c>
    </row>
    <row r="310" spans="1:9" ht="16.5">
      <c r="A310" s="41" t="s">
        <v>33</v>
      </c>
      <c r="B310" s="23">
        <v>904</v>
      </c>
      <c r="C310" s="19" t="s">
        <v>16</v>
      </c>
      <c r="D310" s="18"/>
      <c r="E310" s="19"/>
      <c r="F310" s="18"/>
      <c r="G310" s="80">
        <f aca="true" t="shared" si="37" ref="G310:I311">G311</f>
        <v>51320000</v>
      </c>
      <c r="H310" s="80">
        <f t="shared" si="37"/>
        <v>53215000</v>
      </c>
      <c r="I310" s="80">
        <f t="shared" si="37"/>
        <v>55187000</v>
      </c>
    </row>
    <row r="311" spans="1:9" ht="16.5">
      <c r="A311" s="41" t="s">
        <v>41</v>
      </c>
      <c r="B311" s="23">
        <v>904</v>
      </c>
      <c r="C311" s="18" t="s">
        <v>16</v>
      </c>
      <c r="D311" s="18" t="s">
        <v>12</v>
      </c>
      <c r="E311" s="18"/>
      <c r="F311" s="18"/>
      <c r="G311" s="42">
        <f t="shared" si="37"/>
        <v>51320000</v>
      </c>
      <c r="H311" s="42">
        <f t="shared" si="37"/>
        <v>53215000</v>
      </c>
      <c r="I311" s="42">
        <f t="shared" si="37"/>
        <v>55187000</v>
      </c>
    </row>
    <row r="312" spans="1:9" s="66" customFormat="1" ht="16.5">
      <c r="A312" s="41" t="s">
        <v>1129</v>
      </c>
      <c r="B312" s="23">
        <v>904</v>
      </c>
      <c r="C312" s="18" t="s">
        <v>16</v>
      </c>
      <c r="D312" s="18" t="s">
        <v>12</v>
      </c>
      <c r="E312" s="61" t="s">
        <v>255</v>
      </c>
      <c r="F312" s="59"/>
      <c r="G312" s="43">
        <f>G319+G313</f>
        <v>51320000</v>
      </c>
      <c r="H312" s="43">
        <f>H319+H313</f>
        <v>53215000</v>
      </c>
      <c r="I312" s="43">
        <f>I319+I313</f>
        <v>55187000</v>
      </c>
    </row>
    <row r="313" spans="1:9" s="66" customFormat="1" ht="33">
      <c r="A313" s="40" t="s">
        <v>507</v>
      </c>
      <c r="B313" s="23">
        <v>904</v>
      </c>
      <c r="C313" s="18" t="s">
        <v>16</v>
      </c>
      <c r="D313" s="18" t="s">
        <v>12</v>
      </c>
      <c r="E313" s="18" t="s">
        <v>276</v>
      </c>
      <c r="F313" s="59"/>
      <c r="G313" s="43">
        <f>G314</f>
        <v>3939000</v>
      </c>
      <c r="H313" s="43">
        <f>H314</f>
        <v>3939000</v>
      </c>
      <c r="I313" s="43">
        <f>I314</f>
        <v>3939000</v>
      </c>
    </row>
    <row r="314" spans="1:9" s="66" customFormat="1" ht="33">
      <c r="A314" s="40" t="s">
        <v>394</v>
      </c>
      <c r="B314" s="23">
        <v>904</v>
      </c>
      <c r="C314" s="18" t="s">
        <v>16</v>
      </c>
      <c r="D314" s="18" t="s">
        <v>12</v>
      </c>
      <c r="E314" s="18" t="s">
        <v>1207</v>
      </c>
      <c r="F314" s="59"/>
      <c r="G314" s="43">
        <f>G317+G315</f>
        <v>3939000</v>
      </c>
      <c r="H314" s="43">
        <f>H317+H315</f>
        <v>3939000</v>
      </c>
      <c r="I314" s="43">
        <f>I317+I315</f>
        <v>3939000</v>
      </c>
    </row>
    <row r="315" spans="1:9" s="66" customFormat="1" ht="82.5" hidden="1">
      <c r="A315" s="40" t="s">
        <v>548</v>
      </c>
      <c r="B315" s="23">
        <v>904</v>
      </c>
      <c r="C315" s="18" t="s">
        <v>16</v>
      </c>
      <c r="D315" s="18" t="s">
        <v>12</v>
      </c>
      <c r="E315" s="18" t="s">
        <v>1206</v>
      </c>
      <c r="F315" s="59"/>
      <c r="G315" s="43">
        <f>G316</f>
        <v>0</v>
      </c>
      <c r="H315" s="43">
        <f>H316</f>
        <v>0</v>
      </c>
      <c r="I315" s="43">
        <f>I316</f>
        <v>0</v>
      </c>
    </row>
    <row r="316" spans="1:9" s="66" customFormat="1" ht="16.5" hidden="1">
      <c r="A316" s="40" t="s">
        <v>146</v>
      </c>
      <c r="B316" s="23">
        <v>904</v>
      </c>
      <c r="C316" s="18" t="s">
        <v>16</v>
      </c>
      <c r="D316" s="18" t="s">
        <v>12</v>
      </c>
      <c r="E316" s="18" t="s">
        <v>1206</v>
      </c>
      <c r="F316" s="59">
        <v>310</v>
      </c>
      <c r="G316" s="43"/>
      <c r="H316" s="43"/>
      <c r="I316" s="43"/>
    </row>
    <row r="317" spans="1:9" s="66" customFormat="1" ht="82.5">
      <c r="A317" s="40" t="s">
        <v>395</v>
      </c>
      <c r="B317" s="23">
        <v>904</v>
      </c>
      <c r="C317" s="18" t="s">
        <v>16</v>
      </c>
      <c r="D317" s="18" t="s">
        <v>12</v>
      </c>
      <c r="E317" s="18" t="s">
        <v>1205</v>
      </c>
      <c r="F317" s="59"/>
      <c r="G317" s="43">
        <f>G318</f>
        <v>3939000</v>
      </c>
      <c r="H317" s="43">
        <f>H318</f>
        <v>3939000</v>
      </c>
      <c r="I317" s="43">
        <f>I318</f>
        <v>3939000</v>
      </c>
    </row>
    <row r="318" spans="1:9" s="66" customFormat="1" ht="16.5">
      <c r="A318" s="40" t="s">
        <v>146</v>
      </c>
      <c r="B318" s="23">
        <v>904</v>
      </c>
      <c r="C318" s="18" t="s">
        <v>16</v>
      </c>
      <c r="D318" s="18" t="s">
        <v>12</v>
      </c>
      <c r="E318" s="18" t="s">
        <v>1205</v>
      </c>
      <c r="F318" s="59">
        <v>310</v>
      </c>
      <c r="G318" s="43">
        <v>3939000</v>
      </c>
      <c r="H318" s="43">
        <v>3939000</v>
      </c>
      <c r="I318" s="43">
        <v>3939000</v>
      </c>
    </row>
    <row r="319" spans="1:9" s="66" customFormat="1" ht="33">
      <c r="A319" s="40" t="s">
        <v>513</v>
      </c>
      <c r="B319" s="23">
        <v>904</v>
      </c>
      <c r="C319" s="18" t="s">
        <v>16</v>
      </c>
      <c r="D319" s="18" t="s">
        <v>12</v>
      </c>
      <c r="E319" s="18" t="s">
        <v>275</v>
      </c>
      <c r="F319" s="59"/>
      <c r="G319" s="43">
        <f aca="true" t="shared" si="38" ref="G319:I320">G320</f>
        <v>47381000</v>
      </c>
      <c r="H319" s="43">
        <f t="shared" si="38"/>
        <v>49276000</v>
      </c>
      <c r="I319" s="43">
        <f t="shared" si="38"/>
        <v>51248000</v>
      </c>
    </row>
    <row r="320" spans="1:9" s="66" customFormat="1" ht="33">
      <c r="A320" s="40" t="s">
        <v>377</v>
      </c>
      <c r="B320" s="23">
        <v>904</v>
      </c>
      <c r="C320" s="18" t="s">
        <v>16</v>
      </c>
      <c r="D320" s="18" t="s">
        <v>12</v>
      </c>
      <c r="E320" s="18" t="s">
        <v>376</v>
      </c>
      <c r="F320" s="59"/>
      <c r="G320" s="43">
        <f t="shared" si="38"/>
        <v>47381000</v>
      </c>
      <c r="H320" s="43">
        <f t="shared" si="38"/>
        <v>49276000</v>
      </c>
      <c r="I320" s="43">
        <f t="shared" si="38"/>
        <v>51248000</v>
      </c>
    </row>
    <row r="321" spans="1:9" s="66" customFormat="1" ht="66">
      <c r="A321" s="41" t="s">
        <v>379</v>
      </c>
      <c r="B321" s="23">
        <v>904</v>
      </c>
      <c r="C321" s="18" t="s">
        <v>16</v>
      </c>
      <c r="D321" s="18" t="s">
        <v>12</v>
      </c>
      <c r="E321" s="18" t="s">
        <v>380</v>
      </c>
      <c r="F321" s="59"/>
      <c r="G321" s="43">
        <f>G322+G323</f>
        <v>47381000</v>
      </c>
      <c r="H321" s="43">
        <f>H322+H323</f>
        <v>49276000</v>
      </c>
      <c r="I321" s="43">
        <f>I322+I323</f>
        <v>51248000</v>
      </c>
    </row>
    <row r="322" spans="1:9" s="66" customFormat="1" ht="16.5">
      <c r="A322" s="40" t="s">
        <v>146</v>
      </c>
      <c r="B322" s="23">
        <v>904</v>
      </c>
      <c r="C322" s="18" t="s">
        <v>16</v>
      </c>
      <c r="D322" s="18" t="s">
        <v>12</v>
      </c>
      <c r="E322" s="18" t="s">
        <v>380</v>
      </c>
      <c r="F322" s="59">
        <v>310</v>
      </c>
      <c r="G322" s="70">
        <v>28945400</v>
      </c>
      <c r="H322" s="70">
        <v>29945400</v>
      </c>
      <c r="I322" s="70">
        <v>31945400</v>
      </c>
    </row>
    <row r="323" spans="1:9" s="66" customFormat="1" ht="33">
      <c r="A323" s="41" t="s">
        <v>192</v>
      </c>
      <c r="B323" s="23">
        <v>904</v>
      </c>
      <c r="C323" s="18" t="s">
        <v>16</v>
      </c>
      <c r="D323" s="18" t="s">
        <v>12</v>
      </c>
      <c r="E323" s="18" t="s">
        <v>380</v>
      </c>
      <c r="F323" s="59">
        <v>320</v>
      </c>
      <c r="G323" s="70">
        <v>18435600</v>
      </c>
      <c r="H323" s="70">
        <v>19330600</v>
      </c>
      <c r="I323" s="70">
        <v>19302600</v>
      </c>
    </row>
    <row r="324" spans="1:9" ht="33">
      <c r="A324" s="121" t="s">
        <v>100</v>
      </c>
      <c r="B324" s="122">
        <v>905</v>
      </c>
      <c r="C324" s="123"/>
      <c r="D324" s="123"/>
      <c r="E324" s="123"/>
      <c r="F324" s="123"/>
      <c r="G324" s="124">
        <f>G325+G360+G454+G464</f>
        <v>120148485</v>
      </c>
      <c r="H324" s="124">
        <f>H325+H360+H454+H464</f>
        <v>122662723</v>
      </c>
      <c r="I324" s="124">
        <f>I325+I360+I454+I464</f>
        <v>111152273</v>
      </c>
    </row>
    <row r="325" spans="1:9" ht="16.5">
      <c r="A325" s="41" t="s">
        <v>28</v>
      </c>
      <c r="B325" s="23">
        <v>905</v>
      </c>
      <c r="C325" s="18" t="s">
        <v>8</v>
      </c>
      <c r="D325" s="18"/>
      <c r="E325" s="18"/>
      <c r="F325" s="18"/>
      <c r="G325" s="43">
        <f>G326+G355</f>
        <v>41191164</v>
      </c>
      <c r="H325" s="43">
        <f>H326+H355</f>
        <v>40157164</v>
      </c>
      <c r="I325" s="43">
        <f>I326+I355</f>
        <v>35569714</v>
      </c>
    </row>
    <row r="326" spans="1:9" ht="16.5">
      <c r="A326" s="41" t="s">
        <v>525</v>
      </c>
      <c r="B326" s="23">
        <v>905</v>
      </c>
      <c r="C326" s="19" t="s">
        <v>8</v>
      </c>
      <c r="D326" s="19" t="s">
        <v>18</v>
      </c>
      <c r="E326" s="18"/>
      <c r="F326" s="18"/>
      <c r="G326" s="42">
        <f>G327+G338+G343</f>
        <v>41191164</v>
      </c>
      <c r="H326" s="42">
        <f>H327+H338+H343</f>
        <v>40157164</v>
      </c>
      <c r="I326" s="42">
        <f>I327+I338+I343</f>
        <v>35569714</v>
      </c>
    </row>
    <row r="327" spans="1:9" s="66" customFormat="1" ht="33">
      <c r="A327" s="41" t="s">
        <v>1130</v>
      </c>
      <c r="B327" s="23">
        <v>905</v>
      </c>
      <c r="C327" s="19" t="s">
        <v>8</v>
      </c>
      <c r="D327" s="19" t="s">
        <v>18</v>
      </c>
      <c r="E327" s="61" t="s">
        <v>253</v>
      </c>
      <c r="F327" s="59"/>
      <c r="G327" s="43">
        <f>G328+G334</f>
        <v>39442164</v>
      </c>
      <c r="H327" s="43">
        <f>H328+H334</f>
        <v>39442164</v>
      </c>
      <c r="I327" s="43">
        <f>I328+I334</f>
        <v>35304714</v>
      </c>
    </row>
    <row r="328" spans="1:9" s="66" customFormat="1" ht="33">
      <c r="A328" s="41" t="s">
        <v>510</v>
      </c>
      <c r="B328" s="23">
        <v>905</v>
      </c>
      <c r="C328" s="19" t="s">
        <v>8</v>
      </c>
      <c r="D328" s="19" t="s">
        <v>18</v>
      </c>
      <c r="E328" s="18" t="s">
        <v>262</v>
      </c>
      <c r="F328" s="59"/>
      <c r="G328" s="43">
        <f>G329</f>
        <v>39402164</v>
      </c>
      <c r="H328" s="43">
        <f>H329</f>
        <v>39402164</v>
      </c>
      <c r="I328" s="43">
        <f>I329</f>
        <v>35264714</v>
      </c>
    </row>
    <row r="329" spans="1:9" s="66" customFormat="1" ht="16.5">
      <c r="A329" s="41" t="s">
        <v>246</v>
      </c>
      <c r="B329" s="23">
        <v>905</v>
      </c>
      <c r="C329" s="19" t="s">
        <v>8</v>
      </c>
      <c r="D329" s="19" t="s">
        <v>18</v>
      </c>
      <c r="E329" s="18" t="s">
        <v>298</v>
      </c>
      <c r="F329" s="59"/>
      <c r="G329" s="43">
        <f>G330+G332</f>
        <v>39402164</v>
      </c>
      <c r="H329" s="43">
        <f>H330+H332</f>
        <v>39402164</v>
      </c>
      <c r="I329" s="43">
        <f>I330+I332</f>
        <v>35264714</v>
      </c>
    </row>
    <row r="330" spans="1:9" s="66" customFormat="1" ht="33">
      <c r="A330" s="41" t="s">
        <v>467</v>
      </c>
      <c r="B330" s="23">
        <v>905</v>
      </c>
      <c r="C330" s="19" t="s">
        <v>8</v>
      </c>
      <c r="D330" s="19" t="s">
        <v>18</v>
      </c>
      <c r="E330" s="18" t="s">
        <v>300</v>
      </c>
      <c r="F330" s="59"/>
      <c r="G330" s="43">
        <f>G331</f>
        <v>17513652</v>
      </c>
      <c r="H330" s="43">
        <f>H331</f>
        <v>17513652</v>
      </c>
      <c r="I330" s="43">
        <f>I331</f>
        <v>16822352</v>
      </c>
    </row>
    <row r="331" spans="1:9" s="66" customFormat="1" ht="16.5">
      <c r="A331" s="41" t="s">
        <v>153</v>
      </c>
      <c r="B331" s="23">
        <v>905</v>
      </c>
      <c r="C331" s="19" t="s">
        <v>8</v>
      </c>
      <c r="D331" s="19" t="s">
        <v>18</v>
      </c>
      <c r="E331" s="18" t="s">
        <v>300</v>
      </c>
      <c r="F331" s="59">
        <v>610</v>
      </c>
      <c r="G331" s="43">
        <v>17513652</v>
      </c>
      <c r="H331" s="43">
        <v>17513652</v>
      </c>
      <c r="I331" s="43">
        <f>17513652-691300</f>
        <v>16822352</v>
      </c>
    </row>
    <row r="332" spans="1:9" s="66" customFormat="1" ht="33">
      <c r="A332" s="41" t="s">
        <v>527</v>
      </c>
      <c r="B332" s="23">
        <v>905</v>
      </c>
      <c r="C332" s="19" t="s">
        <v>8</v>
      </c>
      <c r="D332" s="19" t="s">
        <v>18</v>
      </c>
      <c r="E332" s="18" t="s">
        <v>301</v>
      </c>
      <c r="F332" s="59"/>
      <c r="G332" s="43">
        <f>G333</f>
        <v>21888512</v>
      </c>
      <c r="H332" s="43">
        <f>H333</f>
        <v>21888512</v>
      </c>
      <c r="I332" s="43">
        <f>I333</f>
        <v>18442362</v>
      </c>
    </row>
    <row r="333" spans="1:9" s="66" customFormat="1" ht="16.5">
      <c r="A333" s="41" t="s">
        <v>153</v>
      </c>
      <c r="B333" s="23">
        <v>905</v>
      </c>
      <c r="C333" s="19" t="s">
        <v>8</v>
      </c>
      <c r="D333" s="19" t="s">
        <v>18</v>
      </c>
      <c r="E333" s="18" t="s">
        <v>301</v>
      </c>
      <c r="F333" s="59">
        <v>610</v>
      </c>
      <c r="G333" s="43">
        <v>21888512</v>
      </c>
      <c r="H333" s="43">
        <v>21888512</v>
      </c>
      <c r="I333" s="43">
        <f>21888512-3446150</f>
        <v>18442362</v>
      </c>
    </row>
    <row r="334" spans="1:9" s="66" customFormat="1" ht="16.5">
      <c r="A334" s="41" t="s">
        <v>511</v>
      </c>
      <c r="B334" s="23">
        <v>905</v>
      </c>
      <c r="C334" s="19" t="s">
        <v>8</v>
      </c>
      <c r="D334" s="19" t="s">
        <v>18</v>
      </c>
      <c r="E334" s="18" t="s">
        <v>263</v>
      </c>
      <c r="F334" s="59"/>
      <c r="G334" s="43">
        <f>G335</f>
        <v>40000</v>
      </c>
      <c r="H334" s="43">
        <f aca="true" t="shared" si="39" ref="H334:I336">H335</f>
        <v>40000</v>
      </c>
      <c r="I334" s="43">
        <f t="shared" si="39"/>
        <v>40000</v>
      </c>
    </row>
    <row r="335" spans="1:9" s="66" customFormat="1" ht="33">
      <c r="A335" s="41" t="s">
        <v>306</v>
      </c>
      <c r="B335" s="23">
        <v>905</v>
      </c>
      <c r="C335" s="19" t="s">
        <v>8</v>
      </c>
      <c r="D335" s="19" t="s">
        <v>18</v>
      </c>
      <c r="E335" s="18" t="s">
        <v>305</v>
      </c>
      <c r="F335" s="59"/>
      <c r="G335" s="43">
        <f>G336</f>
        <v>40000</v>
      </c>
      <c r="H335" s="43">
        <f t="shared" si="39"/>
        <v>40000</v>
      </c>
      <c r="I335" s="43">
        <f t="shared" si="39"/>
        <v>40000</v>
      </c>
    </row>
    <row r="336" spans="1:9" s="66" customFormat="1" ht="16.5">
      <c r="A336" s="41" t="s">
        <v>156</v>
      </c>
      <c r="B336" s="23">
        <v>905</v>
      </c>
      <c r="C336" s="19" t="s">
        <v>8</v>
      </c>
      <c r="D336" s="19" t="s">
        <v>18</v>
      </c>
      <c r="E336" s="18" t="s">
        <v>464</v>
      </c>
      <c r="F336" s="59"/>
      <c r="G336" s="43">
        <f>G337</f>
        <v>40000</v>
      </c>
      <c r="H336" s="43">
        <f t="shared" si="39"/>
        <v>40000</v>
      </c>
      <c r="I336" s="43">
        <f t="shared" si="39"/>
        <v>40000</v>
      </c>
    </row>
    <row r="337" spans="1:9" s="66" customFormat="1" ht="16.5">
      <c r="A337" s="41" t="s">
        <v>153</v>
      </c>
      <c r="B337" s="23">
        <v>905</v>
      </c>
      <c r="C337" s="19" t="s">
        <v>8</v>
      </c>
      <c r="D337" s="19" t="s">
        <v>18</v>
      </c>
      <c r="E337" s="18" t="s">
        <v>464</v>
      </c>
      <c r="F337" s="59">
        <v>610</v>
      </c>
      <c r="G337" s="43">
        <v>40000</v>
      </c>
      <c r="H337" s="43">
        <v>40000</v>
      </c>
      <c r="I337" s="43">
        <v>40000</v>
      </c>
    </row>
    <row r="338" spans="1:9" s="66" customFormat="1" ht="16.5">
      <c r="A338" s="41" t="s">
        <v>1125</v>
      </c>
      <c r="B338" s="23">
        <v>905</v>
      </c>
      <c r="C338" s="19" t="s">
        <v>8</v>
      </c>
      <c r="D338" s="19" t="s">
        <v>18</v>
      </c>
      <c r="E338" s="61" t="s">
        <v>221</v>
      </c>
      <c r="F338" s="59"/>
      <c r="G338" s="43">
        <f aca="true" t="shared" si="40" ref="G338:I340">G339</f>
        <v>364000</v>
      </c>
      <c r="H338" s="43">
        <f t="shared" si="40"/>
        <v>350000</v>
      </c>
      <c r="I338" s="43">
        <f t="shared" si="40"/>
        <v>0</v>
      </c>
    </row>
    <row r="339" spans="1:9" s="66" customFormat="1" ht="16.5">
      <c r="A339" s="76" t="s">
        <v>252</v>
      </c>
      <c r="B339" s="23">
        <v>905</v>
      </c>
      <c r="C339" s="19" t="s">
        <v>8</v>
      </c>
      <c r="D339" s="19" t="s">
        <v>18</v>
      </c>
      <c r="E339" s="18" t="s">
        <v>266</v>
      </c>
      <c r="F339" s="59"/>
      <c r="G339" s="43">
        <f t="shared" si="40"/>
        <v>364000</v>
      </c>
      <c r="H339" s="43">
        <f t="shared" si="40"/>
        <v>350000</v>
      </c>
      <c r="I339" s="43">
        <f t="shared" si="40"/>
        <v>0</v>
      </c>
    </row>
    <row r="340" spans="1:9" s="66" customFormat="1" ht="16.5">
      <c r="A340" s="69" t="s">
        <v>360</v>
      </c>
      <c r="B340" s="23">
        <v>905</v>
      </c>
      <c r="C340" s="19" t="s">
        <v>8</v>
      </c>
      <c r="D340" s="19" t="s">
        <v>18</v>
      </c>
      <c r="E340" s="18" t="s">
        <v>361</v>
      </c>
      <c r="F340" s="59"/>
      <c r="G340" s="43">
        <f>G341</f>
        <v>364000</v>
      </c>
      <c r="H340" s="43">
        <f t="shared" si="40"/>
        <v>350000</v>
      </c>
      <c r="I340" s="43">
        <f t="shared" si="40"/>
        <v>0</v>
      </c>
    </row>
    <row r="341" spans="1:9" s="66" customFormat="1" ht="33">
      <c r="A341" s="69" t="s">
        <v>139</v>
      </c>
      <c r="B341" s="23">
        <v>905</v>
      </c>
      <c r="C341" s="19" t="s">
        <v>8</v>
      </c>
      <c r="D341" s="19" t="s">
        <v>18</v>
      </c>
      <c r="E341" s="18" t="s">
        <v>362</v>
      </c>
      <c r="F341" s="59"/>
      <c r="G341" s="43">
        <f>G342</f>
        <v>364000</v>
      </c>
      <c r="H341" s="43">
        <f>H342</f>
        <v>350000</v>
      </c>
      <c r="I341" s="43">
        <f>I342</f>
        <v>0</v>
      </c>
    </row>
    <row r="342" spans="1:9" s="66" customFormat="1" ht="16.5">
      <c r="A342" s="41" t="s">
        <v>153</v>
      </c>
      <c r="B342" s="23">
        <v>905</v>
      </c>
      <c r="C342" s="19" t="s">
        <v>8</v>
      </c>
      <c r="D342" s="19" t="s">
        <v>18</v>
      </c>
      <c r="E342" s="18" t="s">
        <v>362</v>
      </c>
      <c r="F342" s="59">
        <v>610</v>
      </c>
      <c r="G342" s="43">
        <v>364000</v>
      </c>
      <c r="H342" s="43">
        <v>350000</v>
      </c>
      <c r="I342" s="43">
        <f>350000-350000</f>
        <v>0</v>
      </c>
    </row>
    <row r="343" spans="1:9" s="66" customFormat="1" ht="33">
      <c r="A343" s="41" t="s">
        <v>1131</v>
      </c>
      <c r="B343" s="23">
        <v>905</v>
      </c>
      <c r="C343" s="19" t="s">
        <v>8</v>
      </c>
      <c r="D343" s="19" t="s">
        <v>18</v>
      </c>
      <c r="E343" s="61" t="s">
        <v>254</v>
      </c>
      <c r="F343" s="59"/>
      <c r="G343" s="43">
        <f>G344+G347+G352</f>
        <v>1385000</v>
      </c>
      <c r="H343" s="43">
        <f>H344+H347+H352</f>
        <v>365000</v>
      </c>
      <c r="I343" s="43">
        <f>I344+I347+I352</f>
        <v>265000</v>
      </c>
    </row>
    <row r="344" spans="1:9" s="66" customFormat="1" ht="16.5">
      <c r="A344" s="41" t="s">
        <v>371</v>
      </c>
      <c r="B344" s="23">
        <v>905</v>
      </c>
      <c r="C344" s="19" t="s">
        <v>8</v>
      </c>
      <c r="D344" s="19" t="s">
        <v>18</v>
      </c>
      <c r="E344" s="18" t="s">
        <v>372</v>
      </c>
      <c r="F344" s="59"/>
      <c r="G344" s="43">
        <f aca="true" t="shared" si="41" ref="G344:I345">G345</f>
        <v>150000</v>
      </c>
      <c r="H344" s="43">
        <f t="shared" si="41"/>
        <v>150000</v>
      </c>
      <c r="I344" s="43">
        <f t="shared" si="41"/>
        <v>150000</v>
      </c>
    </row>
    <row r="345" spans="1:9" s="66" customFormat="1" ht="16.5">
      <c r="A345" s="41" t="s">
        <v>163</v>
      </c>
      <c r="B345" s="23">
        <v>905</v>
      </c>
      <c r="C345" s="19" t="s">
        <v>8</v>
      </c>
      <c r="D345" s="19" t="s">
        <v>18</v>
      </c>
      <c r="E345" s="18" t="s">
        <v>373</v>
      </c>
      <c r="F345" s="59"/>
      <c r="G345" s="43">
        <f t="shared" si="41"/>
        <v>150000</v>
      </c>
      <c r="H345" s="43">
        <f t="shared" si="41"/>
        <v>150000</v>
      </c>
      <c r="I345" s="43">
        <f t="shared" si="41"/>
        <v>150000</v>
      </c>
    </row>
    <row r="346" spans="1:9" s="66" customFormat="1" ht="16.5">
      <c r="A346" s="41" t="s">
        <v>153</v>
      </c>
      <c r="B346" s="23">
        <v>905</v>
      </c>
      <c r="C346" s="19" t="s">
        <v>8</v>
      </c>
      <c r="D346" s="19" t="s">
        <v>18</v>
      </c>
      <c r="E346" s="18" t="s">
        <v>373</v>
      </c>
      <c r="F346" s="59">
        <v>610</v>
      </c>
      <c r="G346" s="43">
        <v>150000</v>
      </c>
      <c r="H346" s="43">
        <v>150000</v>
      </c>
      <c r="I346" s="43">
        <v>150000</v>
      </c>
    </row>
    <row r="347" spans="1:9" s="66" customFormat="1" ht="16.5">
      <c r="A347" s="41" t="s">
        <v>425</v>
      </c>
      <c r="B347" s="23">
        <v>905</v>
      </c>
      <c r="C347" s="19" t="s">
        <v>8</v>
      </c>
      <c r="D347" s="19" t="s">
        <v>18</v>
      </c>
      <c r="E347" s="18" t="s">
        <v>375</v>
      </c>
      <c r="F347" s="59"/>
      <c r="G347" s="43">
        <f>G348+G350</f>
        <v>1120000</v>
      </c>
      <c r="H347" s="43">
        <f>H348+H350</f>
        <v>100000</v>
      </c>
      <c r="I347" s="43">
        <f>I348+I350</f>
        <v>0</v>
      </c>
    </row>
    <row r="348" spans="1:9" s="66" customFormat="1" ht="16.5">
      <c r="A348" s="41" t="s">
        <v>1240</v>
      </c>
      <c r="B348" s="23">
        <v>905</v>
      </c>
      <c r="C348" s="19" t="s">
        <v>8</v>
      </c>
      <c r="D348" s="19" t="s">
        <v>18</v>
      </c>
      <c r="E348" s="18" t="s">
        <v>1239</v>
      </c>
      <c r="F348" s="59"/>
      <c r="G348" s="43">
        <f>G349</f>
        <v>1020000</v>
      </c>
      <c r="H348" s="43">
        <f>H349</f>
        <v>0</v>
      </c>
      <c r="I348" s="43">
        <f>I349</f>
        <v>0</v>
      </c>
    </row>
    <row r="349" spans="1:9" s="66" customFormat="1" ht="16.5">
      <c r="A349" s="41" t="s">
        <v>153</v>
      </c>
      <c r="B349" s="23">
        <v>905</v>
      </c>
      <c r="C349" s="19" t="s">
        <v>8</v>
      </c>
      <c r="D349" s="19" t="s">
        <v>18</v>
      </c>
      <c r="E349" s="18" t="s">
        <v>1239</v>
      </c>
      <c r="F349" s="59">
        <v>610</v>
      </c>
      <c r="G349" s="43">
        <v>1020000</v>
      </c>
      <c r="H349" s="43">
        <v>0</v>
      </c>
      <c r="I349" s="43">
        <v>0</v>
      </c>
    </row>
    <row r="350" spans="1:9" s="66" customFormat="1" ht="16.5">
      <c r="A350" s="40" t="s">
        <v>447</v>
      </c>
      <c r="B350" s="23">
        <v>905</v>
      </c>
      <c r="C350" s="19" t="s">
        <v>8</v>
      </c>
      <c r="D350" s="19" t="s">
        <v>18</v>
      </c>
      <c r="E350" s="18" t="s">
        <v>479</v>
      </c>
      <c r="F350" s="59"/>
      <c r="G350" s="43">
        <f>G351</f>
        <v>100000</v>
      </c>
      <c r="H350" s="43">
        <f>H351</f>
        <v>100000</v>
      </c>
      <c r="I350" s="43">
        <f>I351</f>
        <v>0</v>
      </c>
    </row>
    <row r="351" spans="1:9" s="66" customFormat="1" ht="16.5">
      <c r="A351" s="41" t="s">
        <v>153</v>
      </c>
      <c r="B351" s="23">
        <v>905</v>
      </c>
      <c r="C351" s="19" t="s">
        <v>8</v>
      </c>
      <c r="D351" s="19" t="s">
        <v>18</v>
      </c>
      <c r="E351" s="18" t="s">
        <v>479</v>
      </c>
      <c r="F351" s="59">
        <v>610</v>
      </c>
      <c r="G351" s="43">
        <v>100000</v>
      </c>
      <c r="H351" s="43">
        <v>100000</v>
      </c>
      <c r="I351" s="43">
        <f>100000-100000</f>
        <v>0</v>
      </c>
    </row>
    <row r="352" spans="1:9" s="66" customFormat="1" ht="33">
      <c r="A352" s="41" t="s">
        <v>374</v>
      </c>
      <c r="B352" s="23">
        <v>905</v>
      </c>
      <c r="C352" s="19" t="s">
        <v>8</v>
      </c>
      <c r="D352" s="19" t="s">
        <v>18</v>
      </c>
      <c r="E352" s="18" t="s">
        <v>423</v>
      </c>
      <c r="F352" s="59"/>
      <c r="G352" s="43">
        <f aca="true" t="shared" si="42" ref="G352:I353">G353</f>
        <v>115000</v>
      </c>
      <c r="H352" s="43">
        <f t="shared" si="42"/>
        <v>115000</v>
      </c>
      <c r="I352" s="43">
        <f t="shared" si="42"/>
        <v>115000</v>
      </c>
    </row>
    <row r="353" spans="1:9" s="66" customFormat="1" ht="16.5">
      <c r="A353" s="41" t="s">
        <v>163</v>
      </c>
      <c r="B353" s="23">
        <v>905</v>
      </c>
      <c r="C353" s="19" t="s">
        <v>8</v>
      </c>
      <c r="D353" s="19" t="s">
        <v>18</v>
      </c>
      <c r="E353" s="18" t="s">
        <v>424</v>
      </c>
      <c r="F353" s="59"/>
      <c r="G353" s="43">
        <f t="shared" si="42"/>
        <v>115000</v>
      </c>
      <c r="H353" s="43">
        <f t="shared" si="42"/>
        <v>115000</v>
      </c>
      <c r="I353" s="43">
        <f t="shared" si="42"/>
        <v>115000</v>
      </c>
    </row>
    <row r="354" spans="1:9" s="66" customFormat="1" ht="16.5">
      <c r="A354" s="41" t="s">
        <v>153</v>
      </c>
      <c r="B354" s="23">
        <v>905</v>
      </c>
      <c r="C354" s="19" t="s">
        <v>8</v>
      </c>
      <c r="D354" s="19" t="s">
        <v>18</v>
      </c>
      <c r="E354" s="18" t="s">
        <v>424</v>
      </c>
      <c r="F354" s="59">
        <v>610</v>
      </c>
      <c r="G354" s="43">
        <v>115000</v>
      </c>
      <c r="H354" s="43">
        <v>115000</v>
      </c>
      <c r="I354" s="43">
        <v>115000</v>
      </c>
    </row>
    <row r="355" spans="1:9" ht="33" hidden="1">
      <c r="A355" s="96" t="s">
        <v>118</v>
      </c>
      <c r="B355" s="23">
        <v>905</v>
      </c>
      <c r="C355" s="18" t="s">
        <v>8</v>
      </c>
      <c r="D355" s="18" t="s">
        <v>13</v>
      </c>
      <c r="E355" s="18"/>
      <c r="F355" s="18"/>
      <c r="G355" s="43">
        <f aca="true" t="shared" si="43" ref="G355:I357">G356</f>
        <v>0</v>
      </c>
      <c r="H355" s="43">
        <f t="shared" si="43"/>
        <v>0</v>
      </c>
      <c r="I355" s="43">
        <f t="shared" si="43"/>
        <v>0</v>
      </c>
    </row>
    <row r="356" spans="1:9" s="66" customFormat="1" ht="33" hidden="1">
      <c r="A356" s="40" t="s">
        <v>1127</v>
      </c>
      <c r="B356" s="23">
        <v>905</v>
      </c>
      <c r="C356" s="18" t="s">
        <v>8</v>
      </c>
      <c r="D356" s="18" t="s">
        <v>13</v>
      </c>
      <c r="E356" s="61" t="s">
        <v>235</v>
      </c>
      <c r="F356" s="59"/>
      <c r="G356" s="43">
        <f t="shared" si="43"/>
        <v>0</v>
      </c>
      <c r="H356" s="43">
        <f t="shared" si="43"/>
        <v>0</v>
      </c>
      <c r="I356" s="43">
        <f t="shared" si="43"/>
        <v>0</v>
      </c>
    </row>
    <row r="357" spans="1:9" s="66" customFormat="1" ht="33" hidden="1">
      <c r="A357" s="74" t="s">
        <v>437</v>
      </c>
      <c r="B357" s="23">
        <v>905</v>
      </c>
      <c r="C357" s="18" t="s">
        <v>8</v>
      </c>
      <c r="D357" s="18" t="s">
        <v>13</v>
      </c>
      <c r="E357" s="61" t="s">
        <v>1231</v>
      </c>
      <c r="F357" s="65"/>
      <c r="G357" s="43">
        <f>G358</f>
        <v>0</v>
      </c>
      <c r="H357" s="43">
        <f t="shared" si="43"/>
        <v>0</v>
      </c>
      <c r="I357" s="43">
        <f t="shared" si="43"/>
        <v>0</v>
      </c>
    </row>
    <row r="358" spans="1:9" s="66" customFormat="1" ht="33" hidden="1">
      <c r="A358" s="74" t="s">
        <v>477</v>
      </c>
      <c r="B358" s="23">
        <v>905</v>
      </c>
      <c r="C358" s="18" t="s">
        <v>8</v>
      </c>
      <c r="D358" s="18" t="s">
        <v>13</v>
      </c>
      <c r="E358" s="61" t="s">
        <v>1232</v>
      </c>
      <c r="F358" s="65"/>
      <c r="G358" s="43">
        <f>G359</f>
        <v>0</v>
      </c>
      <c r="H358" s="43">
        <f>H359</f>
        <v>0</v>
      </c>
      <c r="I358" s="43">
        <f>I359</f>
        <v>0</v>
      </c>
    </row>
    <row r="359" spans="1:9" s="66" customFormat="1" ht="33" hidden="1">
      <c r="A359" s="41" t="s">
        <v>130</v>
      </c>
      <c r="B359" s="23">
        <v>905</v>
      </c>
      <c r="C359" s="18" t="s">
        <v>8</v>
      </c>
      <c r="D359" s="18" t="s">
        <v>13</v>
      </c>
      <c r="E359" s="61" t="s">
        <v>1232</v>
      </c>
      <c r="F359" s="65">
        <v>240</v>
      </c>
      <c r="G359" s="43"/>
      <c r="H359" s="43"/>
      <c r="I359" s="43"/>
    </row>
    <row r="360" spans="1:9" ht="16.5">
      <c r="A360" s="41" t="s">
        <v>115</v>
      </c>
      <c r="B360" s="23">
        <v>905</v>
      </c>
      <c r="C360" s="18" t="s">
        <v>11</v>
      </c>
      <c r="D360" s="18"/>
      <c r="E360" s="18"/>
      <c r="F360" s="18"/>
      <c r="G360" s="43">
        <f>G361+G431</f>
        <v>74932821</v>
      </c>
      <c r="H360" s="43">
        <f>H361+H431</f>
        <v>81696059</v>
      </c>
      <c r="I360" s="43">
        <f>I361+I431</f>
        <v>74773059</v>
      </c>
    </row>
    <row r="361" spans="1:9" ht="16.5">
      <c r="A361" s="41" t="s">
        <v>3</v>
      </c>
      <c r="B361" s="23">
        <v>905</v>
      </c>
      <c r="C361" s="19" t="s">
        <v>11</v>
      </c>
      <c r="D361" s="19" t="s">
        <v>9</v>
      </c>
      <c r="E361" s="18"/>
      <c r="F361" s="18"/>
      <c r="G361" s="42">
        <f>G362+G367+G408+G412+G421</f>
        <v>55207221</v>
      </c>
      <c r="H361" s="42">
        <f>H362+H367+H408+H412+H421</f>
        <v>61970459</v>
      </c>
      <c r="I361" s="42">
        <f>I362+I367+I408+I412+I421</f>
        <v>55047459</v>
      </c>
    </row>
    <row r="362" spans="1:9" s="66" customFormat="1" ht="33">
      <c r="A362" s="41" t="s">
        <v>1130</v>
      </c>
      <c r="B362" s="23">
        <v>905</v>
      </c>
      <c r="C362" s="19" t="s">
        <v>11</v>
      </c>
      <c r="D362" s="19" t="s">
        <v>9</v>
      </c>
      <c r="E362" s="61" t="s">
        <v>253</v>
      </c>
      <c r="F362" s="59"/>
      <c r="G362" s="43">
        <f aca="true" t="shared" si="44" ref="G362:I365">G363</f>
        <v>70000</v>
      </c>
      <c r="H362" s="43">
        <f t="shared" si="44"/>
        <v>70000</v>
      </c>
      <c r="I362" s="43">
        <f t="shared" si="44"/>
        <v>70000</v>
      </c>
    </row>
    <row r="363" spans="1:9" s="66" customFormat="1" ht="16.5">
      <c r="A363" s="41" t="s">
        <v>511</v>
      </c>
      <c r="B363" s="23">
        <v>905</v>
      </c>
      <c r="C363" s="19" t="s">
        <v>11</v>
      </c>
      <c r="D363" s="19" t="s">
        <v>9</v>
      </c>
      <c r="E363" s="18" t="s">
        <v>263</v>
      </c>
      <c r="F363" s="59"/>
      <c r="G363" s="43">
        <f t="shared" si="44"/>
        <v>70000</v>
      </c>
      <c r="H363" s="43">
        <f t="shared" si="44"/>
        <v>70000</v>
      </c>
      <c r="I363" s="43">
        <f t="shared" si="44"/>
        <v>70000</v>
      </c>
    </row>
    <row r="364" spans="1:9" s="66" customFormat="1" ht="33">
      <c r="A364" s="41" t="s">
        <v>306</v>
      </c>
      <c r="B364" s="23">
        <v>905</v>
      </c>
      <c r="C364" s="19" t="s">
        <v>11</v>
      </c>
      <c r="D364" s="19" t="s">
        <v>9</v>
      </c>
      <c r="E364" s="18" t="s">
        <v>305</v>
      </c>
      <c r="F364" s="59"/>
      <c r="G364" s="43">
        <f t="shared" si="44"/>
        <v>70000</v>
      </c>
      <c r="H364" s="43">
        <f t="shared" si="44"/>
        <v>70000</v>
      </c>
      <c r="I364" s="43">
        <f t="shared" si="44"/>
        <v>70000</v>
      </c>
    </row>
    <row r="365" spans="1:9" s="66" customFormat="1" ht="16.5">
      <c r="A365" s="41" t="s">
        <v>156</v>
      </c>
      <c r="B365" s="23">
        <v>905</v>
      </c>
      <c r="C365" s="19" t="s">
        <v>11</v>
      </c>
      <c r="D365" s="19" t="s">
        <v>9</v>
      </c>
      <c r="E365" s="18" t="s">
        <v>464</v>
      </c>
      <c r="F365" s="59"/>
      <c r="G365" s="43">
        <f t="shared" si="44"/>
        <v>70000</v>
      </c>
      <c r="H365" s="43">
        <f t="shared" si="44"/>
        <v>70000</v>
      </c>
      <c r="I365" s="43">
        <f t="shared" si="44"/>
        <v>70000</v>
      </c>
    </row>
    <row r="366" spans="1:9" s="66" customFormat="1" ht="16.5">
      <c r="A366" s="41" t="s">
        <v>153</v>
      </c>
      <c r="B366" s="23">
        <v>905</v>
      </c>
      <c r="C366" s="19" t="s">
        <v>11</v>
      </c>
      <c r="D366" s="19" t="s">
        <v>9</v>
      </c>
      <c r="E366" s="18" t="s">
        <v>464</v>
      </c>
      <c r="F366" s="59">
        <v>610</v>
      </c>
      <c r="G366" s="43">
        <v>70000</v>
      </c>
      <c r="H366" s="43">
        <v>70000</v>
      </c>
      <c r="I366" s="43">
        <v>70000</v>
      </c>
    </row>
    <row r="367" spans="1:9" s="66" customFormat="1" ht="16.5">
      <c r="A367" s="41" t="s">
        <v>1125</v>
      </c>
      <c r="B367" s="23">
        <v>905</v>
      </c>
      <c r="C367" s="19" t="s">
        <v>11</v>
      </c>
      <c r="D367" s="19" t="s">
        <v>9</v>
      </c>
      <c r="E367" s="61" t="s">
        <v>221</v>
      </c>
      <c r="F367" s="59"/>
      <c r="G367" s="43">
        <f>G368+G381+G394+G402</f>
        <v>53668021</v>
      </c>
      <c r="H367" s="43">
        <f>H368+H381+H394+H402</f>
        <v>60431259</v>
      </c>
      <c r="I367" s="43">
        <f>I368+I381+I394+I402</f>
        <v>53518259</v>
      </c>
    </row>
    <row r="368" spans="1:9" s="66" customFormat="1" ht="33">
      <c r="A368" s="40" t="s">
        <v>158</v>
      </c>
      <c r="B368" s="23">
        <v>905</v>
      </c>
      <c r="C368" s="19" t="s">
        <v>11</v>
      </c>
      <c r="D368" s="19" t="s">
        <v>9</v>
      </c>
      <c r="E368" s="18" t="s">
        <v>264</v>
      </c>
      <c r="F368" s="59"/>
      <c r="G368" s="43">
        <f>G369+G378</f>
        <v>20241905</v>
      </c>
      <c r="H368" s="43">
        <f>H369+H378</f>
        <v>27507943</v>
      </c>
      <c r="I368" s="43">
        <f>I369+I378</f>
        <v>20599943</v>
      </c>
    </row>
    <row r="369" spans="1:9" s="66" customFormat="1" ht="16.5">
      <c r="A369" s="69" t="s">
        <v>346</v>
      </c>
      <c r="B369" s="23">
        <v>905</v>
      </c>
      <c r="C369" s="19" t="s">
        <v>11</v>
      </c>
      <c r="D369" s="19" t="s">
        <v>9</v>
      </c>
      <c r="E369" s="18" t="s">
        <v>347</v>
      </c>
      <c r="F369" s="59"/>
      <c r="G369" s="43">
        <f>G370+G372+G374+G376</f>
        <v>20241905</v>
      </c>
      <c r="H369" s="43">
        <f>H370+H372+H374+H376</f>
        <v>20507943</v>
      </c>
      <c r="I369" s="43">
        <f>I370+I372+I374+I376</f>
        <v>20599943</v>
      </c>
    </row>
    <row r="370" spans="1:9" s="66" customFormat="1" ht="33">
      <c r="A370" s="40" t="s">
        <v>162</v>
      </c>
      <c r="B370" s="23">
        <v>905</v>
      </c>
      <c r="C370" s="19" t="s">
        <v>11</v>
      </c>
      <c r="D370" s="19" t="s">
        <v>9</v>
      </c>
      <c r="E370" s="18" t="s">
        <v>348</v>
      </c>
      <c r="F370" s="59"/>
      <c r="G370" s="43">
        <f>G371</f>
        <v>18954922</v>
      </c>
      <c r="H370" s="43">
        <f>H371</f>
        <v>18952922</v>
      </c>
      <c r="I370" s="43">
        <f>I371</f>
        <v>18952922</v>
      </c>
    </row>
    <row r="371" spans="1:9" s="66" customFormat="1" ht="16.5">
      <c r="A371" s="41" t="s">
        <v>153</v>
      </c>
      <c r="B371" s="23">
        <v>905</v>
      </c>
      <c r="C371" s="19" t="s">
        <v>11</v>
      </c>
      <c r="D371" s="19" t="s">
        <v>9</v>
      </c>
      <c r="E371" s="18" t="s">
        <v>348</v>
      </c>
      <c r="F371" s="59">
        <v>610</v>
      </c>
      <c r="G371" s="43">
        <v>18954922</v>
      </c>
      <c r="H371" s="43">
        <v>18952922</v>
      </c>
      <c r="I371" s="43">
        <v>18952922</v>
      </c>
    </row>
    <row r="372" spans="1:9" s="66" customFormat="1" ht="33">
      <c r="A372" s="69" t="s">
        <v>139</v>
      </c>
      <c r="B372" s="23">
        <v>905</v>
      </c>
      <c r="C372" s="19" t="s">
        <v>11</v>
      </c>
      <c r="D372" s="19" t="s">
        <v>9</v>
      </c>
      <c r="E372" s="18" t="s">
        <v>349</v>
      </c>
      <c r="F372" s="59"/>
      <c r="G372" s="43">
        <f>G373</f>
        <v>379000</v>
      </c>
      <c r="H372" s="43">
        <f>H373</f>
        <v>373181</v>
      </c>
      <c r="I372" s="43">
        <f>I373</f>
        <v>387000</v>
      </c>
    </row>
    <row r="373" spans="1:9" s="66" customFormat="1" ht="16.5">
      <c r="A373" s="41" t="s">
        <v>153</v>
      </c>
      <c r="B373" s="23">
        <v>905</v>
      </c>
      <c r="C373" s="19" t="s">
        <v>11</v>
      </c>
      <c r="D373" s="19" t="s">
        <v>9</v>
      </c>
      <c r="E373" s="18" t="s">
        <v>349</v>
      </c>
      <c r="F373" s="59">
        <v>610</v>
      </c>
      <c r="G373" s="43">
        <v>379000</v>
      </c>
      <c r="H373" s="43">
        <f>385000-11819</f>
        <v>373181</v>
      </c>
      <c r="I373" s="43">
        <v>387000</v>
      </c>
    </row>
    <row r="374" spans="1:9" s="66" customFormat="1" ht="16.5">
      <c r="A374" s="41" t="s">
        <v>447</v>
      </c>
      <c r="B374" s="23">
        <v>905</v>
      </c>
      <c r="C374" s="19" t="s">
        <v>11</v>
      </c>
      <c r="D374" s="19" t="s">
        <v>9</v>
      </c>
      <c r="E374" s="18" t="s">
        <v>526</v>
      </c>
      <c r="F374" s="59"/>
      <c r="G374" s="43">
        <f>G375</f>
        <v>109981</v>
      </c>
      <c r="H374" s="43">
        <f>H375</f>
        <v>0</v>
      </c>
      <c r="I374" s="43">
        <f>I375</f>
        <v>78181</v>
      </c>
    </row>
    <row r="375" spans="1:9" s="66" customFormat="1" ht="16.5">
      <c r="A375" s="41" t="s">
        <v>153</v>
      </c>
      <c r="B375" s="23">
        <v>905</v>
      </c>
      <c r="C375" s="19" t="s">
        <v>11</v>
      </c>
      <c r="D375" s="19" t="s">
        <v>9</v>
      </c>
      <c r="E375" s="18" t="s">
        <v>526</v>
      </c>
      <c r="F375" s="59">
        <v>610</v>
      </c>
      <c r="G375" s="43">
        <f>121800-11819</f>
        <v>109981</v>
      </c>
      <c r="H375" s="43">
        <f>1876200-1876200</f>
        <v>0</v>
      </c>
      <c r="I375" s="43">
        <f>90000-11819</f>
        <v>78181</v>
      </c>
    </row>
    <row r="376" spans="1:9" s="66" customFormat="1" ht="49.5">
      <c r="A376" s="74" t="s">
        <v>1281</v>
      </c>
      <c r="B376" s="23">
        <v>905</v>
      </c>
      <c r="C376" s="19" t="s">
        <v>11</v>
      </c>
      <c r="D376" s="19" t="s">
        <v>9</v>
      </c>
      <c r="E376" s="18" t="s">
        <v>1305</v>
      </c>
      <c r="F376" s="65"/>
      <c r="G376" s="43">
        <f>G377</f>
        <v>798002</v>
      </c>
      <c r="H376" s="43">
        <f>H377</f>
        <v>1181840</v>
      </c>
      <c r="I376" s="43">
        <f>I377</f>
        <v>1181840</v>
      </c>
    </row>
    <row r="377" spans="1:9" s="66" customFormat="1" ht="16.5">
      <c r="A377" s="41" t="s">
        <v>153</v>
      </c>
      <c r="B377" s="23">
        <v>905</v>
      </c>
      <c r="C377" s="19" t="s">
        <v>11</v>
      </c>
      <c r="D377" s="19" t="s">
        <v>9</v>
      </c>
      <c r="E377" s="18" t="s">
        <v>1305</v>
      </c>
      <c r="F377" s="65">
        <v>610</v>
      </c>
      <c r="G377" s="43">
        <v>798002</v>
      </c>
      <c r="H377" s="43">
        <v>1181840</v>
      </c>
      <c r="I377" s="43">
        <v>1181840</v>
      </c>
    </row>
    <row r="378" spans="1:9" s="66" customFormat="1" ht="16.5" hidden="1">
      <c r="A378" s="41" t="s">
        <v>1300</v>
      </c>
      <c r="B378" s="23">
        <v>905</v>
      </c>
      <c r="C378" s="19" t="s">
        <v>11</v>
      </c>
      <c r="D378" s="19" t="s">
        <v>9</v>
      </c>
      <c r="E378" s="18" t="s">
        <v>1303</v>
      </c>
      <c r="F378" s="59"/>
      <c r="G378" s="43">
        <f aca="true" t="shared" si="45" ref="G378:I379">G379</f>
        <v>0</v>
      </c>
      <c r="H378" s="43">
        <f t="shared" si="45"/>
        <v>7000000</v>
      </c>
      <c r="I378" s="43">
        <f t="shared" si="45"/>
        <v>0</v>
      </c>
    </row>
    <row r="379" spans="1:9" s="66" customFormat="1" ht="33" hidden="1">
      <c r="A379" s="41" t="s">
        <v>1301</v>
      </c>
      <c r="B379" s="23">
        <v>905</v>
      </c>
      <c r="C379" s="19" t="s">
        <v>11</v>
      </c>
      <c r="D379" s="19" t="s">
        <v>9</v>
      </c>
      <c r="E379" s="18" t="s">
        <v>1302</v>
      </c>
      <c r="F379" s="59"/>
      <c r="G379" s="43">
        <f t="shared" si="45"/>
        <v>0</v>
      </c>
      <c r="H379" s="43">
        <f t="shared" si="45"/>
        <v>7000000</v>
      </c>
      <c r="I379" s="43">
        <f t="shared" si="45"/>
        <v>0</v>
      </c>
    </row>
    <row r="380" spans="1:9" s="66" customFormat="1" ht="16.5" hidden="1">
      <c r="A380" s="41" t="s">
        <v>153</v>
      </c>
      <c r="B380" s="23">
        <v>905</v>
      </c>
      <c r="C380" s="19" t="s">
        <v>11</v>
      </c>
      <c r="D380" s="19" t="s">
        <v>9</v>
      </c>
      <c r="E380" s="18" t="s">
        <v>1302</v>
      </c>
      <c r="F380" s="59">
        <v>610</v>
      </c>
      <c r="G380" s="43">
        <v>0</v>
      </c>
      <c r="H380" s="43">
        <v>7000000</v>
      </c>
      <c r="I380" s="43">
        <v>0</v>
      </c>
    </row>
    <row r="381" spans="1:9" s="66" customFormat="1" ht="16.5">
      <c r="A381" s="40" t="s">
        <v>506</v>
      </c>
      <c r="B381" s="23">
        <v>905</v>
      </c>
      <c r="C381" s="19" t="s">
        <v>11</v>
      </c>
      <c r="D381" s="19" t="s">
        <v>9</v>
      </c>
      <c r="E381" s="18" t="s">
        <v>265</v>
      </c>
      <c r="F381" s="59"/>
      <c r="G381" s="43">
        <f>G382+G387</f>
        <v>30899490</v>
      </c>
      <c r="H381" s="43">
        <f>H382+H387</f>
        <v>30391690</v>
      </c>
      <c r="I381" s="43">
        <f>I382+I387</f>
        <v>30391690</v>
      </c>
    </row>
    <row r="382" spans="1:9" s="66" customFormat="1" ht="16.5">
      <c r="A382" s="40" t="s">
        <v>350</v>
      </c>
      <c r="B382" s="23">
        <v>905</v>
      </c>
      <c r="C382" s="19" t="s">
        <v>11</v>
      </c>
      <c r="D382" s="19" t="s">
        <v>9</v>
      </c>
      <c r="E382" s="18" t="s">
        <v>351</v>
      </c>
      <c r="F382" s="59"/>
      <c r="G382" s="43">
        <f>G383+G385</f>
        <v>27689290</v>
      </c>
      <c r="H382" s="43">
        <f>H383+H385</f>
        <v>27390290</v>
      </c>
      <c r="I382" s="43">
        <f>I383+I385</f>
        <v>27390290</v>
      </c>
    </row>
    <row r="383" spans="1:9" s="66" customFormat="1" ht="33">
      <c r="A383" s="40" t="s">
        <v>161</v>
      </c>
      <c r="B383" s="23">
        <v>905</v>
      </c>
      <c r="C383" s="19" t="s">
        <v>11</v>
      </c>
      <c r="D383" s="19" t="s">
        <v>9</v>
      </c>
      <c r="E383" s="18" t="s">
        <v>352</v>
      </c>
      <c r="F383" s="59"/>
      <c r="G383" s="43">
        <f>G384</f>
        <v>27060290</v>
      </c>
      <c r="H383" s="43">
        <f>H384</f>
        <v>27060290</v>
      </c>
      <c r="I383" s="43">
        <f>I384</f>
        <v>27060290</v>
      </c>
    </row>
    <row r="384" spans="1:9" s="66" customFormat="1" ht="16.5">
      <c r="A384" s="41" t="s">
        <v>153</v>
      </c>
      <c r="B384" s="23">
        <v>905</v>
      </c>
      <c r="C384" s="19" t="s">
        <v>11</v>
      </c>
      <c r="D384" s="19" t="s">
        <v>9</v>
      </c>
      <c r="E384" s="18" t="s">
        <v>352</v>
      </c>
      <c r="F384" s="59">
        <v>610</v>
      </c>
      <c r="G384" s="43">
        <v>27060290</v>
      </c>
      <c r="H384" s="43">
        <v>27060290</v>
      </c>
      <c r="I384" s="43">
        <v>27060290</v>
      </c>
    </row>
    <row r="385" spans="1:9" s="66" customFormat="1" ht="33">
      <c r="A385" s="40" t="s">
        <v>139</v>
      </c>
      <c r="B385" s="23">
        <v>905</v>
      </c>
      <c r="C385" s="19" t="s">
        <v>11</v>
      </c>
      <c r="D385" s="19" t="s">
        <v>9</v>
      </c>
      <c r="E385" s="18" t="s">
        <v>353</v>
      </c>
      <c r="F385" s="59"/>
      <c r="G385" s="43">
        <f>G386</f>
        <v>629000</v>
      </c>
      <c r="H385" s="43">
        <f>H386</f>
        <v>330000</v>
      </c>
      <c r="I385" s="43">
        <f>I386</f>
        <v>330000</v>
      </c>
    </row>
    <row r="386" spans="1:9" s="66" customFormat="1" ht="16.5">
      <c r="A386" s="41" t="s">
        <v>153</v>
      </c>
      <c r="B386" s="23">
        <v>905</v>
      </c>
      <c r="C386" s="19" t="s">
        <v>11</v>
      </c>
      <c r="D386" s="19" t="s">
        <v>9</v>
      </c>
      <c r="E386" s="18" t="s">
        <v>353</v>
      </c>
      <c r="F386" s="59">
        <v>610</v>
      </c>
      <c r="G386" s="43">
        <v>629000</v>
      </c>
      <c r="H386" s="43">
        <v>330000</v>
      </c>
      <c r="I386" s="43">
        <v>330000</v>
      </c>
    </row>
    <row r="387" spans="1:9" s="66" customFormat="1" ht="16.5">
      <c r="A387" s="40" t="s">
        <v>354</v>
      </c>
      <c r="B387" s="23">
        <v>905</v>
      </c>
      <c r="C387" s="19" t="s">
        <v>11</v>
      </c>
      <c r="D387" s="19" t="s">
        <v>9</v>
      </c>
      <c r="E387" s="18" t="s">
        <v>355</v>
      </c>
      <c r="F387" s="59"/>
      <c r="G387" s="43">
        <f>G390+G392+G388</f>
        <v>3210200</v>
      </c>
      <c r="H387" s="43">
        <f>H390+H392+H388</f>
        <v>3001400</v>
      </c>
      <c r="I387" s="43">
        <f>I390+I392+I388</f>
        <v>3001400</v>
      </c>
    </row>
    <row r="388" spans="1:9" s="66" customFormat="1" ht="49.5">
      <c r="A388" s="40" t="s">
        <v>546</v>
      </c>
      <c r="B388" s="23">
        <v>905</v>
      </c>
      <c r="C388" s="19" t="s">
        <v>11</v>
      </c>
      <c r="D388" s="19" t="s">
        <v>9</v>
      </c>
      <c r="E388" s="18" t="s">
        <v>547</v>
      </c>
      <c r="F388" s="59"/>
      <c r="G388" s="43">
        <f>G389</f>
        <v>2612000</v>
      </c>
      <c r="H388" s="43">
        <f>H389</f>
        <v>2612000</v>
      </c>
      <c r="I388" s="43">
        <f>I389</f>
        <v>2612000</v>
      </c>
    </row>
    <row r="389" spans="1:9" s="66" customFormat="1" ht="16.5">
      <c r="A389" s="41" t="s">
        <v>153</v>
      </c>
      <c r="B389" s="23">
        <v>905</v>
      </c>
      <c r="C389" s="19" t="s">
        <v>11</v>
      </c>
      <c r="D389" s="19" t="s">
        <v>9</v>
      </c>
      <c r="E389" s="18" t="s">
        <v>547</v>
      </c>
      <c r="F389" s="59">
        <v>610</v>
      </c>
      <c r="G389" s="43">
        <v>2612000</v>
      </c>
      <c r="H389" s="43">
        <v>2612000</v>
      </c>
      <c r="I389" s="43">
        <v>2612000</v>
      </c>
    </row>
    <row r="390" spans="1:9" s="66" customFormat="1" ht="33">
      <c r="A390" s="40" t="s">
        <v>139</v>
      </c>
      <c r="B390" s="23">
        <v>905</v>
      </c>
      <c r="C390" s="19" t="s">
        <v>11</v>
      </c>
      <c r="D390" s="19" t="s">
        <v>9</v>
      </c>
      <c r="E390" s="18" t="s">
        <v>445</v>
      </c>
      <c r="F390" s="59"/>
      <c r="G390" s="43">
        <f>G391</f>
        <v>255000</v>
      </c>
      <c r="H390" s="43">
        <f>H391</f>
        <v>255000</v>
      </c>
      <c r="I390" s="43">
        <f>I391</f>
        <v>255000</v>
      </c>
    </row>
    <row r="391" spans="1:9" s="66" customFormat="1" ht="16.5">
      <c r="A391" s="41" t="s">
        <v>153</v>
      </c>
      <c r="B391" s="23">
        <v>905</v>
      </c>
      <c r="C391" s="19" t="s">
        <v>11</v>
      </c>
      <c r="D391" s="19" t="s">
        <v>9</v>
      </c>
      <c r="E391" s="18" t="s">
        <v>445</v>
      </c>
      <c r="F391" s="59">
        <v>610</v>
      </c>
      <c r="G391" s="43">
        <v>255000</v>
      </c>
      <c r="H391" s="43">
        <v>255000</v>
      </c>
      <c r="I391" s="43">
        <v>255000</v>
      </c>
    </row>
    <row r="392" spans="1:9" s="66" customFormat="1" ht="16.5">
      <c r="A392" s="71" t="s">
        <v>356</v>
      </c>
      <c r="B392" s="23">
        <v>905</v>
      </c>
      <c r="C392" s="19" t="s">
        <v>11</v>
      </c>
      <c r="D392" s="19" t="s">
        <v>9</v>
      </c>
      <c r="E392" s="18" t="s">
        <v>420</v>
      </c>
      <c r="F392" s="59"/>
      <c r="G392" s="43">
        <f>G393</f>
        <v>343200</v>
      </c>
      <c r="H392" s="43">
        <f>H393</f>
        <v>134400</v>
      </c>
      <c r="I392" s="43">
        <f>I393</f>
        <v>134400</v>
      </c>
    </row>
    <row r="393" spans="1:9" s="66" customFormat="1" ht="16.5">
      <c r="A393" s="40" t="s">
        <v>150</v>
      </c>
      <c r="B393" s="23">
        <v>905</v>
      </c>
      <c r="C393" s="19" t="s">
        <v>11</v>
      </c>
      <c r="D393" s="19" t="s">
        <v>9</v>
      </c>
      <c r="E393" s="18" t="s">
        <v>420</v>
      </c>
      <c r="F393" s="59">
        <v>620</v>
      </c>
      <c r="G393" s="43">
        <v>343200</v>
      </c>
      <c r="H393" s="43">
        <v>134400</v>
      </c>
      <c r="I393" s="43">
        <v>134400</v>
      </c>
    </row>
    <row r="394" spans="1:9" s="66" customFormat="1" ht="16.5">
      <c r="A394" s="76" t="s">
        <v>252</v>
      </c>
      <c r="B394" s="23">
        <v>905</v>
      </c>
      <c r="C394" s="19" t="s">
        <v>11</v>
      </c>
      <c r="D394" s="19" t="s">
        <v>9</v>
      </c>
      <c r="E394" s="18" t="s">
        <v>266</v>
      </c>
      <c r="F394" s="59"/>
      <c r="G394" s="43">
        <f>G395+G398</f>
        <v>645000</v>
      </c>
      <c r="H394" s="43">
        <f>H395+H398</f>
        <v>650000</v>
      </c>
      <c r="I394" s="43">
        <f>I395+I398</f>
        <v>645000</v>
      </c>
    </row>
    <row r="395" spans="1:9" s="66" customFormat="1" ht="16.5">
      <c r="A395" s="69" t="s">
        <v>363</v>
      </c>
      <c r="B395" s="23">
        <v>905</v>
      </c>
      <c r="C395" s="19" t="s">
        <v>11</v>
      </c>
      <c r="D395" s="19" t="s">
        <v>9</v>
      </c>
      <c r="E395" s="18" t="s">
        <v>364</v>
      </c>
      <c r="F395" s="59"/>
      <c r="G395" s="43">
        <f aca="true" t="shared" si="46" ref="G395:I396">G396</f>
        <v>525000</v>
      </c>
      <c r="H395" s="43">
        <f t="shared" si="46"/>
        <v>530000</v>
      </c>
      <c r="I395" s="43">
        <f t="shared" si="46"/>
        <v>525000</v>
      </c>
    </row>
    <row r="396" spans="1:9" s="66" customFormat="1" ht="33">
      <c r="A396" s="69" t="s">
        <v>139</v>
      </c>
      <c r="B396" s="23">
        <v>905</v>
      </c>
      <c r="C396" s="19" t="s">
        <v>11</v>
      </c>
      <c r="D396" s="19" t="s">
        <v>9</v>
      </c>
      <c r="E396" s="18" t="s">
        <v>365</v>
      </c>
      <c r="F396" s="59"/>
      <c r="G396" s="43">
        <f t="shared" si="46"/>
        <v>525000</v>
      </c>
      <c r="H396" s="43">
        <f t="shared" si="46"/>
        <v>530000</v>
      </c>
      <c r="I396" s="43">
        <f t="shared" si="46"/>
        <v>525000</v>
      </c>
    </row>
    <row r="397" spans="1:9" s="66" customFormat="1" ht="16.5">
      <c r="A397" s="41" t="s">
        <v>153</v>
      </c>
      <c r="B397" s="23">
        <v>905</v>
      </c>
      <c r="C397" s="19" t="s">
        <v>11</v>
      </c>
      <c r="D397" s="19" t="s">
        <v>9</v>
      </c>
      <c r="E397" s="18" t="s">
        <v>365</v>
      </c>
      <c r="F397" s="59">
        <v>610</v>
      </c>
      <c r="G397" s="43">
        <v>525000</v>
      </c>
      <c r="H397" s="43">
        <v>530000</v>
      </c>
      <c r="I397" s="43">
        <f>540000-15000</f>
        <v>525000</v>
      </c>
    </row>
    <row r="398" spans="1:9" s="66" customFormat="1" ht="33">
      <c r="A398" s="69" t="s">
        <v>446</v>
      </c>
      <c r="B398" s="23">
        <v>905</v>
      </c>
      <c r="C398" s="19" t="s">
        <v>11</v>
      </c>
      <c r="D398" s="19" t="s">
        <v>9</v>
      </c>
      <c r="E398" s="18" t="s">
        <v>366</v>
      </c>
      <c r="F398" s="59"/>
      <c r="G398" s="43">
        <f>G399</f>
        <v>120000</v>
      </c>
      <c r="H398" s="43">
        <f>H399</f>
        <v>120000</v>
      </c>
      <c r="I398" s="43">
        <f>I399</f>
        <v>120000</v>
      </c>
    </row>
    <row r="399" spans="1:9" s="66" customFormat="1" ht="33">
      <c r="A399" s="69" t="s">
        <v>206</v>
      </c>
      <c r="B399" s="23">
        <v>905</v>
      </c>
      <c r="C399" s="19" t="s">
        <v>11</v>
      </c>
      <c r="D399" s="19" t="s">
        <v>9</v>
      </c>
      <c r="E399" s="18" t="s">
        <v>367</v>
      </c>
      <c r="F399" s="59"/>
      <c r="G399" s="43">
        <f>G400+G401</f>
        <v>120000</v>
      </c>
      <c r="H399" s="43">
        <f>H400+H401</f>
        <v>120000</v>
      </c>
      <c r="I399" s="43">
        <f>I400+I401</f>
        <v>120000</v>
      </c>
    </row>
    <row r="400" spans="1:9" s="66" customFormat="1" ht="16.5">
      <c r="A400" s="41" t="s">
        <v>153</v>
      </c>
      <c r="B400" s="23">
        <v>905</v>
      </c>
      <c r="C400" s="19" t="s">
        <v>11</v>
      </c>
      <c r="D400" s="19" t="s">
        <v>9</v>
      </c>
      <c r="E400" s="18" t="s">
        <v>367</v>
      </c>
      <c r="F400" s="59">
        <v>610</v>
      </c>
      <c r="G400" s="43">
        <v>105000</v>
      </c>
      <c r="H400" s="43">
        <v>105000</v>
      </c>
      <c r="I400" s="43">
        <v>105000</v>
      </c>
    </row>
    <row r="401" spans="1:9" s="66" customFormat="1" ht="16.5">
      <c r="A401" s="40" t="s">
        <v>150</v>
      </c>
      <c r="B401" s="23">
        <v>905</v>
      </c>
      <c r="C401" s="19" t="s">
        <v>11</v>
      </c>
      <c r="D401" s="19" t="s">
        <v>9</v>
      </c>
      <c r="E401" s="18" t="s">
        <v>367</v>
      </c>
      <c r="F401" s="59">
        <v>620</v>
      </c>
      <c r="G401" s="43">
        <v>15000</v>
      </c>
      <c r="H401" s="43">
        <v>15000</v>
      </c>
      <c r="I401" s="43">
        <v>15000</v>
      </c>
    </row>
    <row r="402" spans="1:9" s="66" customFormat="1" ht="16.5">
      <c r="A402" s="41" t="s">
        <v>463</v>
      </c>
      <c r="B402" s="23">
        <v>905</v>
      </c>
      <c r="C402" s="19" t="s">
        <v>11</v>
      </c>
      <c r="D402" s="19" t="s">
        <v>9</v>
      </c>
      <c r="E402" s="18" t="s">
        <v>459</v>
      </c>
      <c r="F402" s="59"/>
      <c r="G402" s="43">
        <f>G403</f>
        <v>1881626</v>
      </c>
      <c r="H402" s="43">
        <f>H403</f>
        <v>1881626</v>
      </c>
      <c r="I402" s="43">
        <f>I403</f>
        <v>1881626</v>
      </c>
    </row>
    <row r="403" spans="1:9" s="66" customFormat="1" ht="16.5">
      <c r="A403" s="41" t="s">
        <v>304</v>
      </c>
      <c r="B403" s="23">
        <v>905</v>
      </c>
      <c r="C403" s="19" t="s">
        <v>11</v>
      </c>
      <c r="D403" s="19" t="s">
        <v>9</v>
      </c>
      <c r="E403" s="18" t="s">
        <v>460</v>
      </c>
      <c r="F403" s="59"/>
      <c r="G403" s="43">
        <f>G404+G406</f>
        <v>1881626</v>
      </c>
      <c r="H403" s="43">
        <f>H404+H406</f>
        <v>1881626</v>
      </c>
      <c r="I403" s="43">
        <f>I404+I406</f>
        <v>1881626</v>
      </c>
    </row>
    <row r="404" spans="1:9" s="66" customFormat="1" ht="49.5">
      <c r="A404" s="40" t="s">
        <v>488</v>
      </c>
      <c r="B404" s="23">
        <v>905</v>
      </c>
      <c r="C404" s="19" t="s">
        <v>11</v>
      </c>
      <c r="D404" s="19" t="s">
        <v>9</v>
      </c>
      <c r="E404" s="18" t="s">
        <v>461</v>
      </c>
      <c r="F404" s="59"/>
      <c r="G404" s="43">
        <f>G405</f>
        <v>1665626</v>
      </c>
      <c r="H404" s="43">
        <f>H405</f>
        <v>1665626</v>
      </c>
      <c r="I404" s="43">
        <f>I405</f>
        <v>1665626</v>
      </c>
    </row>
    <row r="405" spans="1:9" s="66" customFormat="1" ht="16.5">
      <c r="A405" s="41" t="s">
        <v>153</v>
      </c>
      <c r="B405" s="23">
        <v>905</v>
      </c>
      <c r="C405" s="19" t="s">
        <v>11</v>
      </c>
      <c r="D405" s="19" t="s">
        <v>9</v>
      </c>
      <c r="E405" s="18" t="s">
        <v>461</v>
      </c>
      <c r="F405" s="59">
        <v>610</v>
      </c>
      <c r="G405" s="43">
        <v>1665626</v>
      </c>
      <c r="H405" s="43">
        <v>1665626</v>
      </c>
      <c r="I405" s="43">
        <v>1665626</v>
      </c>
    </row>
    <row r="406" spans="1:9" s="66" customFormat="1" ht="16.5">
      <c r="A406" s="41" t="s">
        <v>159</v>
      </c>
      <c r="B406" s="23">
        <v>905</v>
      </c>
      <c r="C406" s="19" t="s">
        <v>11</v>
      </c>
      <c r="D406" s="19" t="s">
        <v>9</v>
      </c>
      <c r="E406" s="18" t="s">
        <v>462</v>
      </c>
      <c r="F406" s="59"/>
      <c r="G406" s="43">
        <f>G407</f>
        <v>216000</v>
      </c>
      <c r="H406" s="43">
        <f>H407</f>
        <v>216000</v>
      </c>
      <c r="I406" s="43">
        <f>I407</f>
        <v>216000</v>
      </c>
    </row>
    <row r="407" spans="1:9" s="66" customFormat="1" ht="16.5">
      <c r="A407" s="41" t="s">
        <v>153</v>
      </c>
      <c r="B407" s="23">
        <v>905</v>
      </c>
      <c r="C407" s="19" t="s">
        <v>11</v>
      </c>
      <c r="D407" s="19" t="s">
        <v>9</v>
      </c>
      <c r="E407" s="18" t="s">
        <v>462</v>
      </c>
      <c r="F407" s="59">
        <v>610</v>
      </c>
      <c r="G407" s="43">
        <v>216000</v>
      </c>
      <c r="H407" s="43">
        <v>216000</v>
      </c>
      <c r="I407" s="43">
        <v>216000</v>
      </c>
    </row>
    <row r="408" spans="1:9" s="66" customFormat="1" ht="49.5">
      <c r="A408" s="40" t="s">
        <v>1132</v>
      </c>
      <c r="B408" s="23">
        <v>905</v>
      </c>
      <c r="C408" s="19" t="s">
        <v>11</v>
      </c>
      <c r="D408" s="19" t="s">
        <v>9</v>
      </c>
      <c r="E408" s="61" t="s">
        <v>257</v>
      </c>
      <c r="F408" s="59"/>
      <c r="G408" s="43">
        <f aca="true" t="shared" si="47" ref="G408:I410">G409</f>
        <v>6000</v>
      </c>
      <c r="H408" s="43">
        <f t="shared" si="47"/>
        <v>6000</v>
      </c>
      <c r="I408" s="43">
        <f t="shared" si="47"/>
        <v>6000</v>
      </c>
    </row>
    <row r="409" spans="1:9" s="66" customFormat="1" ht="16.5">
      <c r="A409" s="40" t="s">
        <v>454</v>
      </c>
      <c r="B409" s="23">
        <v>905</v>
      </c>
      <c r="C409" s="19" t="s">
        <v>11</v>
      </c>
      <c r="D409" s="19" t="s">
        <v>9</v>
      </c>
      <c r="E409" s="18" t="s">
        <v>397</v>
      </c>
      <c r="F409" s="59"/>
      <c r="G409" s="43">
        <f t="shared" si="47"/>
        <v>6000</v>
      </c>
      <c r="H409" s="43">
        <f t="shared" si="47"/>
        <v>6000</v>
      </c>
      <c r="I409" s="43">
        <f t="shared" si="47"/>
        <v>6000</v>
      </c>
    </row>
    <row r="410" spans="1:9" s="66" customFormat="1" ht="33">
      <c r="A410" s="40" t="s">
        <v>160</v>
      </c>
      <c r="B410" s="23">
        <v>905</v>
      </c>
      <c r="C410" s="19" t="s">
        <v>11</v>
      </c>
      <c r="D410" s="19" t="s">
        <v>9</v>
      </c>
      <c r="E410" s="18" t="s">
        <v>398</v>
      </c>
      <c r="F410" s="59"/>
      <c r="G410" s="43">
        <f t="shared" si="47"/>
        <v>6000</v>
      </c>
      <c r="H410" s="43">
        <f t="shared" si="47"/>
        <v>6000</v>
      </c>
      <c r="I410" s="43">
        <f t="shared" si="47"/>
        <v>6000</v>
      </c>
    </row>
    <row r="411" spans="1:9" s="66" customFormat="1" ht="16.5">
      <c r="A411" s="41" t="s">
        <v>153</v>
      </c>
      <c r="B411" s="23">
        <v>905</v>
      </c>
      <c r="C411" s="19" t="s">
        <v>11</v>
      </c>
      <c r="D411" s="19" t="s">
        <v>9</v>
      </c>
      <c r="E411" s="18" t="s">
        <v>398</v>
      </c>
      <c r="F411" s="59">
        <v>610</v>
      </c>
      <c r="G411" s="43">
        <v>6000</v>
      </c>
      <c r="H411" s="43">
        <v>6000</v>
      </c>
      <c r="I411" s="43">
        <v>6000</v>
      </c>
    </row>
    <row r="412" spans="1:9" s="66" customFormat="1" ht="33">
      <c r="A412" s="41" t="s">
        <v>1126</v>
      </c>
      <c r="B412" s="23">
        <v>905</v>
      </c>
      <c r="C412" s="19" t="s">
        <v>11</v>
      </c>
      <c r="D412" s="19" t="s">
        <v>9</v>
      </c>
      <c r="E412" s="61" t="s">
        <v>222</v>
      </c>
      <c r="F412" s="59"/>
      <c r="G412" s="43">
        <f>G413+G417</f>
        <v>17000</v>
      </c>
      <c r="H412" s="43">
        <f>H413+H417</f>
        <v>17000</v>
      </c>
      <c r="I412" s="43">
        <f>I413+I417</f>
        <v>17000</v>
      </c>
    </row>
    <row r="413" spans="1:9" s="66" customFormat="1" ht="33">
      <c r="A413" s="79" t="s">
        <v>140</v>
      </c>
      <c r="B413" s="23">
        <v>905</v>
      </c>
      <c r="C413" s="19" t="s">
        <v>11</v>
      </c>
      <c r="D413" s="19" t="s">
        <v>9</v>
      </c>
      <c r="E413" s="18" t="s">
        <v>228</v>
      </c>
      <c r="F413" s="59"/>
      <c r="G413" s="43">
        <f aca="true" t="shared" si="48" ref="G413:I415">G414</f>
        <v>7000</v>
      </c>
      <c r="H413" s="43">
        <f t="shared" si="48"/>
        <v>7000</v>
      </c>
      <c r="I413" s="43">
        <f t="shared" si="48"/>
        <v>7000</v>
      </c>
    </row>
    <row r="414" spans="1:9" s="66" customFormat="1" ht="16.5">
      <c r="A414" s="79" t="s">
        <v>399</v>
      </c>
      <c r="B414" s="23">
        <v>905</v>
      </c>
      <c r="C414" s="19" t="s">
        <v>11</v>
      </c>
      <c r="D414" s="19" t="s">
        <v>9</v>
      </c>
      <c r="E414" s="18" t="s">
        <v>229</v>
      </c>
      <c r="F414" s="59"/>
      <c r="G414" s="43">
        <f t="shared" si="48"/>
        <v>7000</v>
      </c>
      <c r="H414" s="43">
        <f t="shared" si="48"/>
        <v>7000</v>
      </c>
      <c r="I414" s="43">
        <f t="shared" si="48"/>
        <v>7000</v>
      </c>
    </row>
    <row r="415" spans="1:9" s="66" customFormat="1" ht="33">
      <c r="A415" s="79" t="s">
        <v>400</v>
      </c>
      <c r="B415" s="23">
        <v>905</v>
      </c>
      <c r="C415" s="19" t="s">
        <v>11</v>
      </c>
      <c r="D415" s="19" t="s">
        <v>9</v>
      </c>
      <c r="E415" s="18" t="s">
        <v>401</v>
      </c>
      <c r="F415" s="59"/>
      <c r="G415" s="43">
        <f t="shared" si="48"/>
        <v>7000</v>
      </c>
      <c r="H415" s="43">
        <f t="shared" si="48"/>
        <v>7000</v>
      </c>
      <c r="I415" s="43">
        <f t="shared" si="48"/>
        <v>7000</v>
      </c>
    </row>
    <row r="416" spans="1:9" s="66" customFormat="1" ht="16.5">
      <c r="A416" s="41" t="s">
        <v>153</v>
      </c>
      <c r="B416" s="23">
        <v>905</v>
      </c>
      <c r="C416" s="19" t="s">
        <v>11</v>
      </c>
      <c r="D416" s="19" t="s">
        <v>9</v>
      </c>
      <c r="E416" s="18" t="s">
        <v>401</v>
      </c>
      <c r="F416" s="59">
        <v>610</v>
      </c>
      <c r="G416" s="43">
        <v>7000</v>
      </c>
      <c r="H416" s="43">
        <v>7000</v>
      </c>
      <c r="I416" s="43">
        <v>7000</v>
      </c>
    </row>
    <row r="417" spans="1:9" s="66" customFormat="1" ht="33">
      <c r="A417" s="41" t="s">
        <v>144</v>
      </c>
      <c r="B417" s="23">
        <v>905</v>
      </c>
      <c r="C417" s="19" t="s">
        <v>11</v>
      </c>
      <c r="D417" s="19" t="s">
        <v>9</v>
      </c>
      <c r="E417" s="18" t="s">
        <v>223</v>
      </c>
      <c r="F417" s="59"/>
      <c r="G417" s="43">
        <f aca="true" t="shared" si="49" ref="G417:I419">G418</f>
        <v>10000</v>
      </c>
      <c r="H417" s="43">
        <f t="shared" si="49"/>
        <v>10000</v>
      </c>
      <c r="I417" s="43">
        <f t="shared" si="49"/>
        <v>10000</v>
      </c>
    </row>
    <row r="418" spans="1:9" s="66" customFormat="1" ht="16.5">
      <c r="A418" s="41" t="s">
        <v>406</v>
      </c>
      <c r="B418" s="23">
        <v>905</v>
      </c>
      <c r="C418" s="19" t="s">
        <v>11</v>
      </c>
      <c r="D418" s="19" t="s">
        <v>9</v>
      </c>
      <c r="E418" s="18" t="s">
        <v>225</v>
      </c>
      <c r="F418" s="59"/>
      <c r="G418" s="43">
        <f t="shared" si="49"/>
        <v>10000</v>
      </c>
      <c r="H418" s="43">
        <f t="shared" si="49"/>
        <v>10000</v>
      </c>
      <c r="I418" s="43">
        <f t="shared" si="49"/>
        <v>10000</v>
      </c>
    </row>
    <row r="419" spans="1:9" s="66" customFormat="1" ht="33">
      <c r="A419" s="41" t="s">
        <v>145</v>
      </c>
      <c r="B419" s="23">
        <v>905</v>
      </c>
      <c r="C419" s="19" t="s">
        <v>11</v>
      </c>
      <c r="D419" s="19" t="s">
        <v>9</v>
      </c>
      <c r="E419" s="18" t="s">
        <v>224</v>
      </c>
      <c r="F419" s="59"/>
      <c r="G419" s="43">
        <f t="shared" si="49"/>
        <v>10000</v>
      </c>
      <c r="H419" s="43">
        <f t="shared" si="49"/>
        <v>10000</v>
      </c>
      <c r="I419" s="43">
        <f t="shared" si="49"/>
        <v>10000</v>
      </c>
    </row>
    <row r="420" spans="1:9" s="66" customFormat="1" ht="16.5">
      <c r="A420" s="41" t="s">
        <v>153</v>
      </c>
      <c r="B420" s="23">
        <v>905</v>
      </c>
      <c r="C420" s="19" t="s">
        <v>11</v>
      </c>
      <c r="D420" s="19" t="s">
        <v>9</v>
      </c>
      <c r="E420" s="18" t="s">
        <v>224</v>
      </c>
      <c r="F420" s="59">
        <v>610</v>
      </c>
      <c r="G420" s="43">
        <v>10000</v>
      </c>
      <c r="H420" s="43">
        <v>10000</v>
      </c>
      <c r="I420" s="43">
        <v>10000</v>
      </c>
    </row>
    <row r="421" spans="1:9" s="66" customFormat="1" ht="45" customHeight="1">
      <c r="A421" s="40" t="s">
        <v>1139</v>
      </c>
      <c r="B421" s="23">
        <v>905</v>
      </c>
      <c r="C421" s="19" t="s">
        <v>11</v>
      </c>
      <c r="D421" s="19" t="s">
        <v>9</v>
      </c>
      <c r="E421" s="61" t="s">
        <v>258</v>
      </c>
      <c r="F421" s="59"/>
      <c r="G421" s="43">
        <f>G422+G425+G428</f>
        <v>1446200</v>
      </c>
      <c r="H421" s="43">
        <f>H422+H425+H428</f>
        <v>1446200</v>
      </c>
      <c r="I421" s="43">
        <f>I422+I425+I428</f>
        <v>1436200</v>
      </c>
    </row>
    <row r="422" spans="1:9" s="66" customFormat="1" ht="16.5">
      <c r="A422" s="40" t="s">
        <v>408</v>
      </c>
      <c r="B422" s="23">
        <v>905</v>
      </c>
      <c r="C422" s="19" t="s">
        <v>11</v>
      </c>
      <c r="D422" s="19" t="s">
        <v>9</v>
      </c>
      <c r="E422" s="18" t="s">
        <v>409</v>
      </c>
      <c r="F422" s="59"/>
      <c r="G422" s="43">
        <f aca="true" t="shared" si="50" ref="G422:I423">G423</f>
        <v>1371200</v>
      </c>
      <c r="H422" s="43">
        <f t="shared" si="50"/>
        <v>1371200</v>
      </c>
      <c r="I422" s="43">
        <f t="shared" si="50"/>
        <v>1371200</v>
      </c>
    </row>
    <row r="423" spans="1:9" s="66" customFormat="1" ht="49.5">
      <c r="A423" s="41" t="s">
        <v>455</v>
      </c>
      <c r="B423" s="23">
        <v>905</v>
      </c>
      <c r="C423" s="19" t="s">
        <v>11</v>
      </c>
      <c r="D423" s="19" t="s">
        <v>9</v>
      </c>
      <c r="E423" s="18" t="s">
        <v>410</v>
      </c>
      <c r="F423" s="59"/>
      <c r="G423" s="43">
        <f t="shared" si="50"/>
        <v>1371200</v>
      </c>
      <c r="H423" s="43">
        <f t="shared" si="50"/>
        <v>1371200</v>
      </c>
      <c r="I423" s="43">
        <f t="shared" si="50"/>
        <v>1371200</v>
      </c>
    </row>
    <row r="424" spans="1:9" s="66" customFormat="1" ht="16.5">
      <c r="A424" s="40" t="s">
        <v>150</v>
      </c>
      <c r="B424" s="23">
        <v>905</v>
      </c>
      <c r="C424" s="19" t="s">
        <v>11</v>
      </c>
      <c r="D424" s="19" t="s">
        <v>9</v>
      </c>
      <c r="E424" s="18" t="s">
        <v>410</v>
      </c>
      <c r="F424" s="59">
        <v>620</v>
      </c>
      <c r="G424" s="43">
        <v>1371200</v>
      </c>
      <c r="H424" s="43">
        <v>1371200</v>
      </c>
      <c r="I424" s="43">
        <v>1371200</v>
      </c>
    </row>
    <row r="425" spans="1:9" s="66" customFormat="1" ht="33">
      <c r="A425" s="40" t="s">
        <v>411</v>
      </c>
      <c r="B425" s="23">
        <v>905</v>
      </c>
      <c r="C425" s="19" t="s">
        <v>11</v>
      </c>
      <c r="D425" s="19" t="s">
        <v>9</v>
      </c>
      <c r="E425" s="18" t="s">
        <v>412</v>
      </c>
      <c r="F425" s="59"/>
      <c r="G425" s="43">
        <f aca="true" t="shared" si="51" ref="G425:I426">G426</f>
        <v>10000</v>
      </c>
      <c r="H425" s="43">
        <f t="shared" si="51"/>
        <v>10000</v>
      </c>
      <c r="I425" s="43">
        <f t="shared" si="51"/>
        <v>0</v>
      </c>
    </row>
    <row r="426" spans="1:9" s="66" customFormat="1" ht="16.5">
      <c r="A426" s="40" t="s">
        <v>179</v>
      </c>
      <c r="B426" s="23">
        <v>905</v>
      </c>
      <c r="C426" s="19" t="s">
        <v>11</v>
      </c>
      <c r="D426" s="19" t="s">
        <v>9</v>
      </c>
      <c r="E426" s="18" t="s">
        <v>413</v>
      </c>
      <c r="F426" s="59"/>
      <c r="G426" s="43">
        <f t="shared" si="51"/>
        <v>10000</v>
      </c>
      <c r="H426" s="43">
        <f t="shared" si="51"/>
        <v>10000</v>
      </c>
      <c r="I426" s="43">
        <f t="shared" si="51"/>
        <v>0</v>
      </c>
    </row>
    <row r="427" spans="1:9" s="66" customFormat="1" ht="16.5">
      <c r="A427" s="40" t="s">
        <v>150</v>
      </c>
      <c r="B427" s="23">
        <v>905</v>
      </c>
      <c r="C427" s="19" t="s">
        <v>11</v>
      </c>
      <c r="D427" s="19" t="s">
        <v>9</v>
      </c>
      <c r="E427" s="18" t="s">
        <v>413</v>
      </c>
      <c r="F427" s="59">
        <v>620</v>
      </c>
      <c r="G427" s="43">
        <v>10000</v>
      </c>
      <c r="H427" s="43">
        <v>10000</v>
      </c>
      <c r="I427" s="43">
        <f>10000-10000</f>
        <v>0</v>
      </c>
    </row>
    <row r="428" spans="1:9" s="66" customFormat="1" ht="33">
      <c r="A428" s="40" t="s">
        <v>450</v>
      </c>
      <c r="B428" s="23">
        <v>905</v>
      </c>
      <c r="C428" s="19" t="s">
        <v>11</v>
      </c>
      <c r="D428" s="19" t="s">
        <v>9</v>
      </c>
      <c r="E428" s="18" t="s">
        <v>414</v>
      </c>
      <c r="F428" s="59"/>
      <c r="G428" s="43">
        <f aca="true" t="shared" si="52" ref="G428:I429">G429</f>
        <v>65000</v>
      </c>
      <c r="H428" s="43">
        <f t="shared" si="52"/>
        <v>65000</v>
      </c>
      <c r="I428" s="43">
        <f t="shared" si="52"/>
        <v>65000</v>
      </c>
    </row>
    <row r="429" spans="1:9" s="66" customFormat="1" ht="16.5">
      <c r="A429" s="40" t="s">
        <v>179</v>
      </c>
      <c r="B429" s="23">
        <v>905</v>
      </c>
      <c r="C429" s="19" t="s">
        <v>11</v>
      </c>
      <c r="D429" s="19" t="s">
        <v>9</v>
      </c>
      <c r="E429" s="18" t="s">
        <v>415</v>
      </c>
      <c r="F429" s="59"/>
      <c r="G429" s="43">
        <f t="shared" si="52"/>
        <v>65000</v>
      </c>
      <c r="H429" s="43">
        <f t="shared" si="52"/>
        <v>65000</v>
      </c>
      <c r="I429" s="43">
        <f t="shared" si="52"/>
        <v>65000</v>
      </c>
    </row>
    <row r="430" spans="1:9" s="66" customFormat="1" ht="16.5">
      <c r="A430" s="40" t="s">
        <v>150</v>
      </c>
      <c r="B430" s="23">
        <v>905</v>
      </c>
      <c r="C430" s="19" t="s">
        <v>11</v>
      </c>
      <c r="D430" s="19" t="s">
        <v>9</v>
      </c>
      <c r="E430" s="18" t="s">
        <v>415</v>
      </c>
      <c r="F430" s="59">
        <v>620</v>
      </c>
      <c r="G430" s="43">
        <v>65000</v>
      </c>
      <c r="H430" s="43">
        <v>65000</v>
      </c>
      <c r="I430" s="43">
        <v>65000</v>
      </c>
    </row>
    <row r="431" spans="1:9" ht="16.5">
      <c r="A431" s="41" t="s">
        <v>68</v>
      </c>
      <c r="B431" s="23">
        <v>905</v>
      </c>
      <c r="C431" s="18" t="s">
        <v>11</v>
      </c>
      <c r="D431" s="18" t="s">
        <v>12</v>
      </c>
      <c r="E431" s="18"/>
      <c r="F431" s="18"/>
      <c r="G431" s="43">
        <f>G432+G438</f>
        <v>19725600</v>
      </c>
      <c r="H431" s="43">
        <f>H432+H438</f>
        <v>19725600</v>
      </c>
      <c r="I431" s="43">
        <f>I432+I438</f>
        <v>19725600</v>
      </c>
    </row>
    <row r="432" spans="1:9" s="66" customFormat="1" ht="33">
      <c r="A432" s="41" t="s">
        <v>1130</v>
      </c>
      <c r="B432" s="23">
        <v>905</v>
      </c>
      <c r="C432" s="19" t="s">
        <v>11</v>
      </c>
      <c r="D432" s="19" t="s">
        <v>12</v>
      </c>
      <c r="E432" s="61" t="s">
        <v>253</v>
      </c>
      <c r="F432" s="59"/>
      <c r="G432" s="43">
        <f>G433</f>
        <v>47000</v>
      </c>
      <c r="H432" s="43">
        <f>H433</f>
        <v>47000</v>
      </c>
      <c r="I432" s="43">
        <f>I433</f>
        <v>47000</v>
      </c>
    </row>
    <row r="433" spans="1:9" s="66" customFormat="1" ht="16.5">
      <c r="A433" s="41" t="s">
        <v>511</v>
      </c>
      <c r="B433" s="23">
        <v>905</v>
      </c>
      <c r="C433" s="19" t="s">
        <v>11</v>
      </c>
      <c r="D433" s="19" t="s">
        <v>12</v>
      </c>
      <c r="E433" s="18" t="s">
        <v>263</v>
      </c>
      <c r="F433" s="59"/>
      <c r="G433" s="43">
        <f aca="true" t="shared" si="53" ref="G433:I434">G434</f>
        <v>47000</v>
      </c>
      <c r="H433" s="43">
        <f t="shared" si="53"/>
        <v>47000</v>
      </c>
      <c r="I433" s="43">
        <f t="shared" si="53"/>
        <v>47000</v>
      </c>
    </row>
    <row r="434" spans="1:9" s="66" customFormat="1" ht="33">
      <c r="A434" s="41" t="s">
        <v>306</v>
      </c>
      <c r="B434" s="23">
        <v>905</v>
      </c>
      <c r="C434" s="19" t="s">
        <v>11</v>
      </c>
      <c r="D434" s="19" t="s">
        <v>12</v>
      </c>
      <c r="E434" s="18" t="s">
        <v>305</v>
      </c>
      <c r="F434" s="59"/>
      <c r="G434" s="43">
        <f t="shared" si="53"/>
        <v>47000</v>
      </c>
      <c r="H434" s="43">
        <f t="shared" si="53"/>
        <v>47000</v>
      </c>
      <c r="I434" s="43">
        <f t="shared" si="53"/>
        <v>47000</v>
      </c>
    </row>
    <row r="435" spans="1:9" s="66" customFormat="1" ht="16.5">
      <c r="A435" s="41" t="s">
        <v>156</v>
      </c>
      <c r="B435" s="23">
        <v>905</v>
      </c>
      <c r="C435" s="19" t="s">
        <v>11</v>
      </c>
      <c r="D435" s="19" t="s">
        <v>12</v>
      </c>
      <c r="E435" s="18" t="s">
        <v>464</v>
      </c>
      <c r="F435" s="59"/>
      <c r="G435" s="43">
        <f>G436+G437</f>
        <v>47000</v>
      </c>
      <c r="H435" s="43">
        <f>H436+H437</f>
        <v>47000</v>
      </c>
      <c r="I435" s="43">
        <f>I436+I437</f>
        <v>47000</v>
      </c>
    </row>
    <row r="436" spans="1:9" s="66" customFormat="1" ht="33">
      <c r="A436" s="41" t="s">
        <v>130</v>
      </c>
      <c r="B436" s="23">
        <v>905</v>
      </c>
      <c r="C436" s="19" t="s">
        <v>11</v>
      </c>
      <c r="D436" s="19" t="s">
        <v>12</v>
      </c>
      <c r="E436" s="18" t="s">
        <v>464</v>
      </c>
      <c r="F436" s="59">
        <v>240</v>
      </c>
      <c r="G436" s="43">
        <v>39000</v>
      </c>
      <c r="H436" s="43">
        <v>39000</v>
      </c>
      <c r="I436" s="43">
        <v>39000</v>
      </c>
    </row>
    <row r="437" spans="1:9" s="66" customFormat="1" ht="33">
      <c r="A437" s="41" t="s">
        <v>142</v>
      </c>
      <c r="B437" s="23">
        <v>905</v>
      </c>
      <c r="C437" s="19" t="s">
        <v>11</v>
      </c>
      <c r="D437" s="19" t="s">
        <v>12</v>
      </c>
      <c r="E437" s="18" t="s">
        <v>464</v>
      </c>
      <c r="F437" s="59">
        <v>630</v>
      </c>
      <c r="G437" s="43">
        <v>8000</v>
      </c>
      <c r="H437" s="43">
        <v>8000</v>
      </c>
      <c r="I437" s="43">
        <v>8000</v>
      </c>
    </row>
    <row r="438" spans="1:9" s="66" customFormat="1" ht="16.5">
      <c r="A438" s="41" t="s">
        <v>1125</v>
      </c>
      <c r="B438" s="23">
        <v>905</v>
      </c>
      <c r="C438" s="19" t="s">
        <v>11</v>
      </c>
      <c r="D438" s="19" t="s">
        <v>12</v>
      </c>
      <c r="E438" s="61" t="s">
        <v>221</v>
      </c>
      <c r="F438" s="59"/>
      <c r="G438" s="43">
        <f>G439+G449</f>
        <v>19678600</v>
      </c>
      <c r="H438" s="43">
        <f>H439+H449</f>
        <v>19678600</v>
      </c>
      <c r="I438" s="43">
        <f>I439+I449</f>
        <v>19678600</v>
      </c>
    </row>
    <row r="439" spans="1:9" s="66" customFormat="1" ht="16.5">
      <c r="A439" s="76" t="s">
        <v>317</v>
      </c>
      <c r="B439" s="23">
        <v>905</v>
      </c>
      <c r="C439" s="19" t="s">
        <v>11</v>
      </c>
      <c r="D439" s="19" t="s">
        <v>12</v>
      </c>
      <c r="E439" s="18" t="s">
        <v>277</v>
      </c>
      <c r="F439" s="59"/>
      <c r="G439" s="43">
        <f>G440</f>
        <v>19591600</v>
      </c>
      <c r="H439" s="43">
        <f>H440</f>
        <v>19591600</v>
      </c>
      <c r="I439" s="43">
        <f>I440</f>
        <v>19591600</v>
      </c>
    </row>
    <row r="440" spans="1:9" s="101" customFormat="1" ht="16.5">
      <c r="A440" s="69" t="s">
        <v>368</v>
      </c>
      <c r="B440" s="23">
        <v>905</v>
      </c>
      <c r="C440" s="19" t="s">
        <v>11</v>
      </c>
      <c r="D440" s="19" t="s">
        <v>12</v>
      </c>
      <c r="E440" s="18" t="s">
        <v>369</v>
      </c>
      <c r="F440" s="59"/>
      <c r="G440" s="43">
        <f>G445+G441</f>
        <v>19591600</v>
      </c>
      <c r="H440" s="43">
        <f>H445+H441</f>
        <v>19591600</v>
      </c>
      <c r="I440" s="43">
        <f>I445+I441</f>
        <v>19591600</v>
      </c>
    </row>
    <row r="441" spans="1:9" s="101" customFormat="1" ht="49.5">
      <c r="A441" s="69" t="s">
        <v>157</v>
      </c>
      <c r="B441" s="23">
        <v>905</v>
      </c>
      <c r="C441" s="19" t="s">
        <v>11</v>
      </c>
      <c r="D441" s="19" t="s">
        <v>12</v>
      </c>
      <c r="E441" s="18" t="s">
        <v>370</v>
      </c>
      <c r="F441" s="59"/>
      <c r="G441" s="43">
        <f>G442+G443+G444</f>
        <v>15932900</v>
      </c>
      <c r="H441" s="43">
        <f>H442+H443+H444</f>
        <v>15932900</v>
      </c>
      <c r="I441" s="43">
        <f>I442+I443+I444</f>
        <v>15932900</v>
      </c>
    </row>
    <row r="442" spans="1:9" s="66" customFormat="1" ht="33">
      <c r="A442" s="41" t="s">
        <v>127</v>
      </c>
      <c r="B442" s="23">
        <v>905</v>
      </c>
      <c r="C442" s="19" t="s">
        <v>11</v>
      </c>
      <c r="D442" s="19" t="s">
        <v>12</v>
      </c>
      <c r="E442" s="18" t="s">
        <v>370</v>
      </c>
      <c r="F442" s="59">
        <v>120</v>
      </c>
      <c r="G442" s="43">
        <v>14504000</v>
      </c>
      <c r="H442" s="43">
        <v>14504000</v>
      </c>
      <c r="I442" s="43">
        <v>14504000</v>
      </c>
    </row>
    <row r="443" spans="1:9" s="66" customFormat="1" ht="33">
      <c r="A443" s="41" t="s">
        <v>130</v>
      </c>
      <c r="B443" s="23">
        <v>905</v>
      </c>
      <c r="C443" s="19" t="s">
        <v>11</v>
      </c>
      <c r="D443" s="19" t="s">
        <v>12</v>
      </c>
      <c r="E443" s="18" t="s">
        <v>370</v>
      </c>
      <c r="F443" s="59">
        <v>240</v>
      </c>
      <c r="G443" s="43">
        <v>1392900</v>
      </c>
      <c r="H443" s="43">
        <v>1392900</v>
      </c>
      <c r="I443" s="43">
        <v>1392900</v>
      </c>
    </row>
    <row r="444" spans="1:9" s="66" customFormat="1" ht="16.5">
      <c r="A444" s="41" t="s">
        <v>132</v>
      </c>
      <c r="B444" s="23">
        <v>905</v>
      </c>
      <c r="C444" s="19" t="s">
        <v>11</v>
      </c>
      <c r="D444" s="19" t="s">
        <v>12</v>
      </c>
      <c r="E444" s="18" t="s">
        <v>370</v>
      </c>
      <c r="F444" s="59">
        <v>850</v>
      </c>
      <c r="G444" s="43">
        <v>36000</v>
      </c>
      <c r="H444" s="43">
        <v>36000</v>
      </c>
      <c r="I444" s="43">
        <v>36000</v>
      </c>
    </row>
    <row r="445" spans="1:9" s="101" customFormat="1" ht="16.5">
      <c r="A445" s="69" t="s">
        <v>129</v>
      </c>
      <c r="B445" s="23">
        <v>905</v>
      </c>
      <c r="C445" s="19" t="s">
        <v>11</v>
      </c>
      <c r="D445" s="19" t="s">
        <v>12</v>
      </c>
      <c r="E445" s="18" t="s">
        <v>482</v>
      </c>
      <c r="F445" s="59"/>
      <c r="G445" s="43">
        <f>G446+G447+G448</f>
        <v>3658700</v>
      </c>
      <c r="H445" s="43">
        <f>H446+H447+H448</f>
        <v>3658700</v>
      </c>
      <c r="I445" s="43">
        <f>I446+I447+I448</f>
        <v>3658700</v>
      </c>
    </row>
    <row r="446" spans="1:9" s="66" customFormat="1" ht="33">
      <c r="A446" s="41" t="s">
        <v>127</v>
      </c>
      <c r="B446" s="23">
        <v>905</v>
      </c>
      <c r="C446" s="19" t="s">
        <v>11</v>
      </c>
      <c r="D446" s="19" t="s">
        <v>12</v>
      </c>
      <c r="E446" s="18" t="s">
        <v>482</v>
      </c>
      <c r="F446" s="59">
        <v>120</v>
      </c>
      <c r="G446" s="43">
        <v>3335700</v>
      </c>
      <c r="H446" s="43">
        <v>3335700</v>
      </c>
      <c r="I446" s="43">
        <v>3335700</v>
      </c>
    </row>
    <row r="447" spans="1:9" s="66" customFormat="1" ht="33">
      <c r="A447" s="41" t="s">
        <v>130</v>
      </c>
      <c r="B447" s="23">
        <v>905</v>
      </c>
      <c r="C447" s="19" t="s">
        <v>11</v>
      </c>
      <c r="D447" s="19" t="s">
        <v>12</v>
      </c>
      <c r="E447" s="18" t="s">
        <v>482</v>
      </c>
      <c r="F447" s="59">
        <v>240</v>
      </c>
      <c r="G447" s="43">
        <v>313000</v>
      </c>
      <c r="H447" s="43">
        <v>313000</v>
      </c>
      <c r="I447" s="43">
        <v>313000</v>
      </c>
    </row>
    <row r="448" spans="1:9" s="66" customFormat="1" ht="16.5">
      <c r="A448" s="41" t="s">
        <v>132</v>
      </c>
      <c r="B448" s="23">
        <v>905</v>
      </c>
      <c r="C448" s="19" t="s">
        <v>11</v>
      </c>
      <c r="D448" s="19" t="s">
        <v>12</v>
      </c>
      <c r="E448" s="18" t="s">
        <v>482</v>
      </c>
      <c r="F448" s="59">
        <v>850</v>
      </c>
      <c r="G448" s="43">
        <v>10000</v>
      </c>
      <c r="H448" s="43">
        <v>10000</v>
      </c>
      <c r="I448" s="43">
        <v>10000</v>
      </c>
    </row>
    <row r="449" spans="1:9" s="66" customFormat="1" ht="16.5">
      <c r="A449" s="41" t="s">
        <v>463</v>
      </c>
      <c r="B449" s="23">
        <v>905</v>
      </c>
      <c r="C449" s="19" t="s">
        <v>11</v>
      </c>
      <c r="D449" s="19" t="s">
        <v>12</v>
      </c>
      <c r="E449" s="18" t="s">
        <v>459</v>
      </c>
      <c r="F449" s="59"/>
      <c r="G449" s="43">
        <f aca="true" t="shared" si="54" ref="G449:I450">G450</f>
        <v>87000</v>
      </c>
      <c r="H449" s="43">
        <f t="shared" si="54"/>
        <v>87000</v>
      </c>
      <c r="I449" s="43">
        <f t="shared" si="54"/>
        <v>87000</v>
      </c>
    </row>
    <row r="450" spans="1:9" s="66" customFormat="1" ht="16.5">
      <c r="A450" s="41" t="s">
        <v>304</v>
      </c>
      <c r="B450" s="23">
        <v>905</v>
      </c>
      <c r="C450" s="19" t="s">
        <v>11</v>
      </c>
      <c r="D450" s="19" t="s">
        <v>12</v>
      </c>
      <c r="E450" s="18" t="s">
        <v>460</v>
      </c>
      <c r="F450" s="59"/>
      <c r="G450" s="43">
        <f t="shared" si="54"/>
        <v>87000</v>
      </c>
      <c r="H450" s="43">
        <f t="shared" si="54"/>
        <v>87000</v>
      </c>
      <c r="I450" s="43">
        <f t="shared" si="54"/>
        <v>87000</v>
      </c>
    </row>
    <row r="451" spans="1:9" s="66" customFormat="1" ht="16.5">
      <c r="A451" s="41" t="s">
        <v>159</v>
      </c>
      <c r="B451" s="23">
        <v>905</v>
      </c>
      <c r="C451" s="19" t="s">
        <v>11</v>
      </c>
      <c r="D451" s="19" t="s">
        <v>12</v>
      </c>
      <c r="E451" s="18" t="s">
        <v>462</v>
      </c>
      <c r="F451" s="59"/>
      <c r="G451" s="43">
        <f>G452+G453</f>
        <v>87000</v>
      </c>
      <c r="H451" s="43">
        <f>H452+H453</f>
        <v>87000</v>
      </c>
      <c r="I451" s="43">
        <f>I452+I453</f>
        <v>87000</v>
      </c>
    </row>
    <row r="452" spans="1:9" s="66" customFormat="1" ht="16.5">
      <c r="A452" s="41" t="s">
        <v>153</v>
      </c>
      <c r="B452" s="23">
        <v>905</v>
      </c>
      <c r="C452" s="19" t="s">
        <v>11</v>
      </c>
      <c r="D452" s="19" t="s">
        <v>12</v>
      </c>
      <c r="E452" s="18" t="s">
        <v>462</v>
      </c>
      <c r="F452" s="59">
        <v>240</v>
      </c>
      <c r="G452" s="43">
        <v>57000</v>
      </c>
      <c r="H452" s="43">
        <v>57000</v>
      </c>
      <c r="I452" s="43">
        <v>57000</v>
      </c>
    </row>
    <row r="453" spans="1:9" s="66" customFormat="1" ht="33">
      <c r="A453" s="41" t="s">
        <v>142</v>
      </c>
      <c r="B453" s="23">
        <v>905</v>
      </c>
      <c r="C453" s="19" t="s">
        <v>11</v>
      </c>
      <c r="D453" s="19" t="s">
        <v>12</v>
      </c>
      <c r="E453" s="18" t="s">
        <v>462</v>
      </c>
      <c r="F453" s="59">
        <v>630</v>
      </c>
      <c r="G453" s="43">
        <v>30000</v>
      </c>
      <c r="H453" s="43">
        <v>30000</v>
      </c>
      <c r="I453" s="43">
        <v>30000</v>
      </c>
    </row>
    <row r="454" spans="1:9" ht="16.5">
      <c r="A454" s="41" t="s">
        <v>33</v>
      </c>
      <c r="B454" s="23">
        <v>905</v>
      </c>
      <c r="C454" s="19" t="s">
        <v>16</v>
      </c>
      <c r="D454" s="18"/>
      <c r="E454" s="18"/>
      <c r="F454" s="18"/>
      <c r="G454" s="43">
        <f aca="true" t="shared" si="55" ref="G454:I457">G455</f>
        <v>589500</v>
      </c>
      <c r="H454" s="43">
        <f t="shared" si="55"/>
        <v>589500</v>
      </c>
      <c r="I454" s="43">
        <f t="shared" si="55"/>
        <v>589500</v>
      </c>
    </row>
    <row r="455" spans="1:9" ht="16.5">
      <c r="A455" s="41" t="s">
        <v>63</v>
      </c>
      <c r="B455" s="23">
        <v>905</v>
      </c>
      <c r="C455" s="18" t="s">
        <v>16</v>
      </c>
      <c r="D455" s="18" t="s">
        <v>18</v>
      </c>
      <c r="E455" s="18"/>
      <c r="F455" s="18"/>
      <c r="G455" s="43">
        <f>G456</f>
        <v>589500</v>
      </c>
      <c r="H455" s="43">
        <f t="shared" si="55"/>
        <v>589500</v>
      </c>
      <c r="I455" s="43">
        <f t="shared" si="55"/>
        <v>589500</v>
      </c>
    </row>
    <row r="456" spans="1:9" s="66" customFormat="1" ht="16.5">
      <c r="A456" s="41" t="s">
        <v>1129</v>
      </c>
      <c r="B456" s="23">
        <v>905</v>
      </c>
      <c r="C456" s="18" t="s">
        <v>16</v>
      </c>
      <c r="D456" s="18" t="s">
        <v>18</v>
      </c>
      <c r="E456" s="61" t="s">
        <v>255</v>
      </c>
      <c r="F456" s="59"/>
      <c r="G456" s="43">
        <f t="shared" si="55"/>
        <v>589500</v>
      </c>
      <c r="H456" s="43">
        <f t="shared" si="55"/>
        <v>589500</v>
      </c>
      <c r="I456" s="43">
        <f t="shared" si="55"/>
        <v>589500</v>
      </c>
    </row>
    <row r="457" spans="1:9" s="66" customFormat="1" ht="33">
      <c r="A457" s="40" t="s">
        <v>507</v>
      </c>
      <c r="B457" s="23">
        <v>905</v>
      </c>
      <c r="C457" s="18" t="s">
        <v>16</v>
      </c>
      <c r="D457" s="18" t="s">
        <v>18</v>
      </c>
      <c r="E457" s="18" t="s">
        <v>276</v>
      </c>
      <c r="F457" s="59"/>
      <c r="G457" s="43">
        <f t="shared" si="55"/>
        <v>589500</v>
      </c>
      <c r="H457" s="43">
        <f t="shared" si="55"/>
        <v>589500</v>
      </c>
      <c r="I457" s="43">
        <f t="shared" si="55"/>
        <v>589500</v>
      </c>
    </row>
    <row r="458" spans="1:9" s="66" customFormat="1" ht="33">
      <c r="A458" s="40" t="s">
        <v>388</v>
      </c>
      <c r="B458" s="23">
        <v>905</v>
      </c>
      <c r="C458" s="18" t="s">
        <v>16</v>
      </c>
      <c r="D458" s="18" t="s">
        <v>18</v>
      </c>
      <c r="E458" s="18" t="s">
        <v>433</v>
      </c>
      <c r="F458" s="59"/>
      <c r="G458" s="43">
        <f>G459+G462</f>
        <v>589500</v>
      </c>
      <c r="H458" s="43">
        <f>H459+H462</f>
        <v>589500</v>
      </c>
      <c r="I458" s="43">
        <f>I459+I462</f>
        <v>589500</v>
      </c>
    </row>
    <row r="459" spans="1:9" s="66" customFormat="1" ht="33">
      <c r="A459" s="40" t="s">
        <v>392</v>
      </c>
      <c r="B459" s="23">
        <v>905</v>
      </c>
      <c r="C459" s="18" t="s">
        <v>16</v>
      </c>
      <c r="D459" s="18" t="s">
        <v>18</v>
      </c>
      <c r="E459" s="18" t="s">
        <v>1209</v>
      </c>
      <c r="F459" s="59"/>
      <c r="G459" s="43">
        <f>G460+G461</f>
        <v>101500</v>
      </c>
      <c r="H459" s="43">
        <f>H460+H461</f>
        <v>101500</v>
      </c>
      <c r="I459" s="43">
        <f>I460+I461</f>
        <v>101500</v>
      </c>
    </row>
    <row r="460" spans="1:9" s="66" customFormat="1" ht="16.5" hidden="1">
      <c r="A460" s="40" t="s">
        <v>146</v>
      </c>
      <c r="B460" s="23">
        <v>905</v>
      </c>
      <c r="C460" s="18" t="s">
        <v>16</v>
      </c>
      <c r="D460" s="18" t="s">
        <v>18</v>
      </c>
      <c r="E460" s="18" t="s">
        <v>393</v>
      </c>
      <c r="F460" s="59">
        <v>310</v>
      </c>
      <c r="G460" s="43">
        <f>98500-98500</f>
        <v>0</v>
      </c>
      <c r="H460" s="43">
        <f>98500-98500</f>
        <v>0</v>
      </c>
      <c r="I460" s="43">
        <f>98500-98500</f>
        <v>0</v>
      </c>
    </row>
    <row r="461" spans="1:9" s="66" customFormat="1" ht="33">
      <c r="A461" s="40" t="s">
        <v>192</v>
      </c>
      <c r="B461" s="23">
        <v>905</v>
      </c>
      <c r="C461" s="18" t="s">
        <v>16</v>
      </c>
      <c r="D461" s="18" t="s">
        <v>18</v>
      </c>
      <c r="E461" s="18" t="s">
        <v>1209</v>
      </c>
      <c r="F461" s="59">
        <v>320</v>
      </c>
      <c r="G461" s="43">
        <v>101500</v>
      </c>
      <c r="H461" s="43">
        <v>101500</v>
      </c>
      <c r="I461" s="43">
        <v>101500</v>
      </c>
    </row>
    <row r="462" spans="1:9" s="66" customFormat="1" ht="66">
      <c r="A462" s="40" t="s">
        <v>519</v>
      </c>
      <c r="B462" s="23">
        <v>905</v>
      </c>
      <c r="C462" s="18" t="s">
        <v>16</v>
      </c>
      <c r="D462" s="18" t="s">
        <v>18</v>
      </c>
      <c r="E462" s="18" t="s">
        <v>1208</v>
      </c>
      <c r="F462" s="59"/>
      <c r="G462" s="43">
        <f>G463</f>
        <v>488000</v>
      </c>
      <c r="H462" s="43">
        <f>H463</f>
        <v>488000</v>
      </c>
      <c r="I462" s="43">
        <f>I463</f>
        <v>488000</v>
      </c>
    </row>
    <row r="463" spans="1:9" s="66" customFormat="1" ht="16.5">
      <c r="A463" s="71" t="s">
        <v>137</v>
      </c>
      <c r="B463" s="23">
        <v>905</v>
      </c>
      <c r="C463" s="18" t="s">
        <v>16</v>
      </c>
      <c r="D463" s="18" t="s">
        <v>18</v>
      </c>
      <c r="E463" s="18" t="s">
        <v>1208</v>
      </c>
      <c r="F463" s="59">
        <v>110</v>
      </c>
      <c r="G463" s="43">
        <v>488000</v>
      </c>
      <c r="H463" s="43">
        <v>488000</v>
      </c>
      <c r="I463" s="43">
        <v>488000</v>
      </c>
    </row>
    <row r="464" spans="1:9" ht="16.5">
      <c r="A464" s="78" t="s">
        <v>21</v>
      </c>
      <c r="B464" s="23">
        <v>905</v>
      </c>
      <c r="C464" s="18" t="s">
        <v>17</v>
      </c>
      <c r="D464" s="18"/>
      <c r="E464" s="18"/>
      <c r="F464" s="18"/>
      <c r="G464" s="43">
        <f aca="true" t="shared" si="56" ref="G464:I465">G465</f>
        <v>3435000</v>
      </c>
      <c r="H464" s="43">
        <f t="shared" si="56"/>
        <v>220000</v>
      </c>
      <c r="I464" s="43">
        <f t="shared" si="56"/>
        <v>220000</v>
      </c>
    </row>
    <row r="465" spans="1:9" ht="16.5">
      <c r="A465" s="41" t="s">
        <v>73</v>
      </c>
      <c r="B465" s="59">
        <v>905</v>
      </c>
      <c r="C465" s="18" t="s">
        <v>17</v>
      </c>
      <c r="D465" s="19" t="s">
        <v>9</v>
      </c>
      <c r="E465" s="18"/>
      <c r="F465" s="18"/>
      <c r="G465" s="42">
        <f t="shared" si="56"/>
        <v>3435000</v>
      </c>
      <c r="H465" s="42">
        <f t="shared" si="56"/>
        <v>220000</v>
      </c>
      <c r="I465" s="42">
        <f t="shared" si="56"/>
        <v>220000</v>
      </c>
    </row>
    <row r="466" spans="1:9" s="66" customFormat="1" ht="33">
      <c r="A466" s="41" t="s">
        <v>1131</v>
      </c>
      <c r="B466" s="59">
        <v>905</v>
      </c>
      <c r="C466" s="18" t="s">
        <v>17</v>
      </c>
      <c r="D466" s="19" t="s">
        <v>9</v>
      </c>
      <c r="E466" s="61" t="s">
        <v>254</v>
      </c>
      <c r="F466" s="59"/>
      <c r="G466" s="43">
        <f>G467+G470+G473</f>
        <v>3435000</v>
      </c>
      <c r="H466" s="43">
        <f>H467+H470+H473</f>
        <v>220000</v>
      </c>
      <c r="I466" s="43">
        <f>I467+I470+I473</f>
        <v>220000</v>
      </c>
    </row>
    <row r="467" spans="1:9" s="66" customFormat="1" ht="16.5">
      <c r="A467" s="41" t="s">
        <v>371</v>
      </c>
      <c r="B467" s="59">
        <v>905</v>
      </c>
      <c r="C467" s="18" t="s">
        <v>17</v>
      </c>
      <c r="D467" s="19" t="s">
        <v>9</v>
      </c>
      <c r="E467" s="18" t="s">
        <v>372</v>
      </c>
      <c r="F467" s="59"/>
      <c r="G467" s="43">
        <f aca="true" t="shared" si="57" ref="G467:I468">G468</f>
        <v>85000</v>
      </c>
      <c r="H467" s="43">
        <f t="shared" si="57"/>
        <v>85000</v>
      </c>
      <c r="I467" s="43">
        <f t="shared" si="57"/>
        <v>85000</v>
      </c>
    </row>
    <row r="468" spans="1:9" s="66" customFormat="1" ht="16.5">
      <c r="A468" s="41" t="s">
        <v>163</v>
      </c>
      <c r="B468" s="59">
        <v>905</v>
      </c>
      <c r="C468" s="18" t="s">
        <v>17</v>
      </c>
      <c r="D468" s="19" t="s">
        <v>9</v>
      </c>
      <c r="E468" s="18" t="s">
        <v>373</v>
      </c>
      <c r="F468" s="59"/>
      <c r="G468" s="43">
        <f t="shared" si="57"/>
        <v>85000</v>
      </c>
      <c r="H468" s="43">
        <f t="shared" si="57"/>
        <v>85000</v>
      </c>
      <c r="I468" s="43">
        <f t="shared" si="57"/>
        <v>85000</v>
      </c>
    </row>
    <row r="469" spans="1:9" s="66" customFormat="1" ht="33">
      <c r="A469" s="41" t="s">
        <v>130</v>
      </c>
      <c r="B469" s="59">
        <v>905</v>
      </c>
      <c r="C469" s="18" t="s">
        <v>17</v>
      </c>
      <c r="D469" s="19" t="s">
        <v>9</v>
      </c>
      <c r="E469" s="18" t="s">
        <v>373</v>
      </c>
      <c r="F469" s="59">
        <v>240</v>
      </c>
      <c r="G469" s="43">
        <v>85000</v>
      </c>
      <c r="H469" s="43">
        <v>85000</v>
      </c>
      <c r="I469" s="43">
        <v>85000</v>
      </c>
    </row>
    <row r="470" spans="1:9" s="66" customFormat="1" ht="16.5">
      <c r="A470" s="41" t="s">
        <v>425</v>
      </c>
      <c r="B470" s="59">
        <v>905</v>
      </c>
      <c r="C470" s="18" t="s">
        <v>17</v>
      </c>
      <c r="D470" s="19" t="s">
        <v>9</v>
      </c>
      <c r="E470" s="18" t="s">
        <v>375</v>
      </c>
      <c r="F470" s="59"/>
      <c r="G470" s="43">
        <f aca="true" t="shared" si="58" ref="G470:I471">G471</f>
        <v>3215000</v>
      </c>
      <c r="H470" s="43">
        <f t="shared" si="58"/>
        <v>0</v>
      </c>
      <c r="I470" s="43">
        <f t="shared" si="58"/>
        <v>0</v>
      </c>
    </row>
    <row r="471" spans="1:9" s="66" customFormat="1" ht="16.5">
      <c r="A471" s="41" t="s">
        <v>490</v>
      </c>
      <c r="B471" s="59">
        <v>905</v>
      </c>
      <c r="C471" s="18" t="s">
        <v>17</v>
      </c>
      <c r="D471" s="19" t="s">
        <v>9</v>
      </c>
      <c r="E471" s="18" t="s">
        <v>491</v>
      </c>
      <c r="F471" s="59"/>
      <c r="G471" s="43">
        <f t="shared" si="58"/>
        <v>3215000</v>
      </c>
      <c r="H471" s="43">
        <f t="shared" si="58"/>
        <v>0</v>
      </c>
      <c r="I471" s="43">
        <f t="shared" si="58"/>
        <v>0</v>
      </c>
    </row>
    <row r="472" spans="1:9" s="66" customFormat="1" ht="16.5">
      <c r="A472" s="41" t="s">
        <v>164</v>
      </c>
      <c r="B472" s="59">
        <v>905</v>
      </c>
      <c r="C472" s="18" t="s">
        <v>17</v>
      </c>
      <c r="D472" s="19" t="s">
        <v>9</v>
      </c>
      <c r="E472" s="18" t="s">
        <v>491</v>
      </c>
      <c r="F472" s="59">
        <v>410</v>
      </c>
      <c r="G472" s="43">
        <v>3215000</v>
      </c>
      <c r="H472" s="43">
        <f>864000-864000</f>
        <v>0</v>
      </c>
      <c r="I472" s="43">
        <f>864000-864000</f>
        <v>0</v>
      </c>
    </row>
    <row r="473" spans="1:9" s="66" customFormat="1" ht="33">
      <c r="A473" s="41" t="s">
        <v>374</v>
      </c>
      <c r="B473" s="59">
        <v>905</v>
      </c>
      <c r="C473" s="18" t="s">
        <v>17</v>
      </c>
      <c r="D473" s="19" t="s">
        <v>9</v>
      </c>
      <c r="E473" s="18" t="s">
        <v>423</v>
      </c>
      <c r="F473" s="59"/>
      <c r="G473" s="43">
        <f aca="true" t="shared" si="59" ref="G473:I474">G474</f>
        <v>135000</v>
      </c>
      <c r="H473" s="43">
        <f t="shared" si="59"/>
        <v>135000</v>
      </c>
      <c r="I473" s="43">
        <f t="shared" si="59"/>
        <v>135000</v>
      </c>
    </row>
    <row r="474" spans="1:9" s="66" customFormat="1" ht="16.5">
      <c r="A474" s="41" t="s">
        <v>163</v>
      </c>
      <c r="B474" s="59">
        <v>905</v>
      </c>
      <c r="C474" s="18" t="s">
        <v>17</v>
      </c>
      <c r="D474" s="19" t="s">
        <v>9</v>
      </c>
      <c r="E474" s="18" t="s">
        <v>424</v>
      </c>
      <c r="F474" s="59"/>
      <c r="G474" s="43">
        <f t="shared" si="59"/>
        <v>135000</v>
      </c>
      <c r="H474" s="43">
        <f t="shared" si="59"/>
        <v>135000</v>
      </c>
      <c r="I474" s="43">
        <f t="shared" si="59"/>
        <v>135000</v>
      </c>
    </row>
    <row r="475" spans="1:9" s="66" customFormat="1" ht="33">
      <c r="A475" s="41" t="s">
        <v>130</v>
      </c>
      <c r="B475" s="59">
        <v>905</v>
      </c>
      <c r="C475" s="18" t="s">
        <v>17</v>
      </c>
      <c r="D475" s="19" t="s">
        <v>9</v>
      </c>
      <c r="E475" s="18" t="s">
        <v>424</v>
      </c>
      <c r="F475" s="59">
        <v>240</v>
      </c>
      <c r="G475" s="43">
        <v>135000</v>
      </c>
      <c r="H475" s="43">
        <v>135000</v>
      </c>
      <c r="I475" s="43">
        <v>135000</v>
      </c>
    </row>
    <row r="476" spans="1:9" ht="33">
      <c r="A476" s="125" t="s">
        <v>200</v>
      </c>
      <c r="B476" s="126">
        <v>910</v>
      </c>
      <c r="C476" s="123"/>
      <c r="D476" s="123"/>
      <c r="E476" s="123"/>
      <c r="F476" s="123"/>
      <c r="G476" s="124">
        <f>G477+G485+G498+G515+G564+G571</f>
        <v>259922497.69</v>
      </c>
      <c r="H476" s="124">
        <f>H477+H485+H498+H515+H564+H571</f>
        <v>45394059.6</v>
      </c>
      <c r="I476" s="124">
        <f>I477+I485+I498+I515+I564+I571</f>
        <v>166426642.6</v>
      </c>
    </row>
    <row r="477" spans="1:9" s="99" customFormat="1" ht="16.5">
      <c r="A477" s="41" t="s">
        <v>45</v>
      </c>
      <c r="B477" s="23">
        <v>910</v>
      </c>
      <c r="C477" s="18" t="s">
        <v>9</v>
      </c>
      <c r="D477" s="18"/>
      <c r="E477" s="18"/>
      <c r="F477" s="18"/>
      <c r="G477" s="43">
        <f>G478</f>
        <v>30000</v>
      </c>
      <c r="H477" s="43">
        <f aca="true" t="shared" si="60" ref="H477:I480">H478</f>
        <v>30000</v>
      </c>
      <c r="I477" s="43">
        <f t="shared" si="60"/>
        <v>30000</v>
      </c>
    </row>
    <row r="478" spans="1:9" ht="16.5">
      <c r="A478" s="41" t="s">
        <v>46</v>
      </c>
      <c r="B478" s="23">
        <v>910</v>
      </c>
      <c r="C478" s="19" t="s">
        <v>9</v>
      </c>
      <c r="D478" s="19" t="s">
        <v>19</v>
      </c>
      <c r="E478" s="18"/>
      <c r="F478" s="18"/>
      <c r="G478" s="42">
        <f>G479</f>
        <v>30000</v>
      </c>
      <c r="H478" s="42">
        <f t="shared" si="60"/>
        <v>30000</v>
      </c>
      <c r="I478" s="42">
        <f t="shared" si="60"/>
        <v>30000</v>
      </c>
    </row>
    <row r="479" spans="1:9" ht="49.5">
      <c r="A479" s="41" t="s">
        <v>201</v>
      </c>
      <c r="B479" s="23">
        <v>910</v>
      </c>
      <c r="C479" s="19" t="s">
        <v>9</v>
      </c>
      <c r="D479" s="19" t="s">
        <v>19</v>
      </c>
      <c r="E479" s="61" t="s">
        <v>210</v>
      </c>
      <c r="F479" s="18"/>
      <c r="G479" s="42">
        <f>G480</f>
        <v>30000</v>
      </c>
      <c r="H479" s="42">
        <f t="shared" si="60"/>
        <v>30000</v>
      </c>
      <c r="I479" s="42">
        <f t="shared" si="60"/>
        <v>30000</v>
      </c>
    </row>
    <row r="480" spans="1:9" ht="16.5">
      <c r="A480" s="41" t="s">
        <v>46</v>
      </c>
      <c r="B480" s="23">
        <v>910</v>
      </c>
      <c r="C480" s="19" t="s">
        <v>9</v>
      </c>
      <c r="D480" s="19" t="s">
        <v>19</v>
      </c>
      <c r="E480" s="18" t="s">
        <v>226</v>
      </c>
      <c r="F480" s="59"/>
      <c r="G480" s="42">
        <f>G481</f>
        <v>30000</v>
      </c>
      <c r="H480" s="42">
        <f t="shared" si="60"/>
        <v>30000</v>
      </c>
      <c r="I480" s="42">
        <f t="shared" si="60"/>
        <v>30000</v>
      </c>
    </row>
    <row r="481" spans="1:9" ht="16.5">
      <c r="A481" s="95" t="s">
        <v>180</v>
      </c>
      <c r="B481" s="23">
        <v>910</v>
      </c>
      <c r="C481" s="18" t="s">
        <v>9</v>
      </c>
      <c r="D481" s="18" t="s">
        <v>19</v>
      </c>
      <c r="E481" s="18" t="s">
        <v>227</v>
      </c>
      <c r="F481" s="18"/>
      <c r="G481" s="42">
        <f>G482+G483+G484</f>
        <v>30000</v>
      </c>
      <c r="H481" s="42">
        <f>H482+H483+H484</f>
        <v>30000</v>
      </c>
      <c r="I481" s="42">
        <f>I482+I483+I484</f>
        <v>30000</v>
      </c>
    </row>
    <row r="482" spans="1:9" ht="33" hidden="1">
      <c r="A482" s="41" t="s">
        <v>130</v>
      </c>
      <c r="B482" s="23">
        <v>910</v>
      </c>
      <c r="C482" s="18" t="s">
        <v>9</v>
      </c>
      <c r="D482" s="18" t="s">
        <v>19</v>
      </c>
      <c r="E482" s="18" t="s">
        <v>227</v>
      </c>
      <c r="F482" s="18" t="s">
        <v>131</v>
      </c>
      <c r="G482" s="42"/>
      <c r="H482" s="42"/>
      <c r="I482" s="42"/>
    </row>
    <row r="483" spans="1:9" ht="16.5">
      <c r="A483" s="95" t="s">
        <v>194</v>
      </c>
      <c r="B483" s="23">
        <v>910</v>
      </c>
      <c r="C483" s="18" t="s">
        <v>9</v>
      </c>
      <c r="D483" s="18" t="s">
        <v>19</v>
      </c>
      <c r="E483" s="18" t="s">
        <v>227</v>
      </c>
      <c r="F483" s="18" t="s">
        <v>193</v>
      </c>
      <c r="G483" s="42">
        <v>30000</v>
      </c>
      <c r="H483" s="42">
        <v>30000</v>
      </c>
      <c r="I483" s="42">
        <v>30000</v>
      </c>
    </row>
    <row r="484" spans="1:9" s="66" customFormat="1" ht="16.5" hidden="1">
      <c r="A484" s="41" t="s">
        <v>132</v>
      </c>
      <c r="B484" s="23">
        <v>910</v>
      </c>
      <c r="C484" s="18" t="s">
        <v>9</v>
      </c>
      <c r="D484" s="18" t="s">
        <v>19</v>
      </c>
      <c r="E484" s="18" t="s">
        <v>227</v>
      </c>
      <c r="F484" s="59">
        <v>850</v>
      </c>
      <c r="G484" s="43"/>
      <c r="H484" s="43"/>
      <c r="I484" s="43"/>
    </row>
    <row r="485" spans="1:9" ht="16.5">
      <c r="A485" s="41" t="s">
        <v>47</v>
      </c>
      <c r="B485" s="23">
        <v>910</v>
      </c>
      <c r="C485" s="18" t="s">
        <v>12</v>
      </c>
      <c r="D485" s="18"/>
      <c r="E485" s="18"/>
      <c r="F485" s="18"/>
      <c r="G485" s="43">
        <f>G486+G492</f>
        <v>21745800</v>
      </c>
      <c r="H485" s="43">
        <f>H486+H492</f>
        <v>21995295</v>
      </c>
      <c r="I485" s="43">
        <f>I486+I492</f>
        <v>21745800</v>
      </c>
    </row>
    <row r="486" spans="1:9" ht="16.5">
      <c r="A486" s="41" t="s">
        <v>4</v>
      </c>
      <c r="B486" s="23">
        <v>910</v>
      </c>
      <c r="C486" s="18" t="s">
        <v>12</v>
      </c>
      <c r="D486" s="18" t="s">
        <v>11</v>
      </c>
      <c r="E486" s="18"/>
      <c r="F486" s="18"/>
      <c r="G486" s="43">
        <f>G487</f>
        <v>100000</v>
      </c>
      <c r="H486" s="43">
        <f>H487</f>
        <v>349495</v>
      </c>
      <c r="I486" s="43">
        <f>I487</f>
        <v>100000</v>
      </c>
    </row>
    <row r="487" spans="1:9" s="66" customFormat="1" ht="33">
      <c r="A487" s="41" t="s">
        <v>1133</v>
      </c>
      <c r="B487" s="23">
        <v>910</v>
      </c>
      <c r="C487" s="18" t="s">
        <v>12</v>
      </c>
      <c r="D487" s="18" t="s">
        <v>11</v>
      </c>
      <c r="E487" s="61" t="s">
        <v>234</v>
      </c>
      <c r="F487" s="59"/>
      <c r="G487" s="43">
        <f aca="true" t="shared" si="61" ref="G487:I490">G488</f>
        <v>100000</v>
      </c>
      <c r="H487" s="43">
        <f t="shared" si="61"/>
        <v>349495</v>
      </c>
      <c r="I487" s="43">
        <f t="shared" si="61"/>
        <v>100000</v>
      </c>
    </row>
    <row r="488" spans="1:9" s="66" customFormat="1" ht="16.5">
      <c r="A488" s="41" t="s">
        <v>141</v>
      </c>
      <c r="B488" s="23">
        <v>910</v>
      </c>
      <c r="C488" s="18" t="s">
        <v>12</v>
      </c>
      <c r="D488" s="18" t="s">
        <v>11</v>
      </c>
      <c r="E488" s="18" t="s">
        <v>270</v>
      </c>
      <c r="F488" s="59"/>
      <c r="G488" s="43">
        <f t="shared" si="61"/>
        <v>100000</v>
      </c>
      <c r="H488" s="43">
        <f t="shared" si="61"/>
        <v>349495</v>
      </c>
      <c r="I488" s="43">
        <f t="shared" si="61"/>
        <v>100000</v>
      </c>
    </row>
    <row r="489" spans="1:9" s="66" customFormat="1" ht="33">
      <c r="A489" s="102" t="s">
        <v>340</v>
      </c>
      <c r="B489" s="23">
        <v>910</v>
      </c>
      <c r="C489" s="18" t="s">
        <v>12</v>
      </c>
      <c r="D489" s="18" t="s">
        <v>11</v>
      </c>
      <c r="E489" s="18" t="s">
        <v>341</v>
      </c>
      <c r="F489" s="59"/>
      <c r="G489" s="43">
        <f>G490</f>
        <v>100000</v>
      </c>
      <c r="H489" s="43">
        <f t="shared" si="61"/>
        <v>349495</v>
      </c>
      <c r="I489" s="43">
        <f t="shared" si="61"/>
        <v>100000</v>
      </c>
    </row>
    <row r="490" spans="1:9" s="66" customFormat="1" ht="33">
      <c r="A490" s="40" t="s">
        <v>489</v>
      </c>
      <c r="B490" s="23">
        <v>910</v>
      </c>
      <c r="C490" s="18" t="s">
        <v>12</v>
      </c>
      <c r="D490" s="18" t="s">
        <v>11</v>
      </c>
      <c r="E490" s="18" t="s">
        <v>485</v>
      </c>
      <c r="F490" s="59"/>
      <c r="G490" s="43">
        <f t="shared" si="61"/>
        <v>100000</v>
      </c>
      <c r="H490" s="43">
        <f t="shared" si="61"/>
        <v>349495</v>
      </c>
      <c r="I490" s="43">
        <f t="shared" si="61"/>
        <v>100000</v>
      </c>
    </row>
    <row r="491" spans="1:9" s="66" customFormat="1" ht="33">
      <c r="A491" s="41" t="s">
        <v>130</v>
      </c>
      <c r="B491" s="23">
        <v>910</v>
      </c>
      <c r="C491" s="18" t="s">
        <v>12</v>
      </c>
      <c r="D491" s="18" t="s">
        <v>11</v>
      </c>
      <c r="E491" s="18" t="s">
        <v>485</v>
      </c>
      <c r="F491" s="59">
        <v>240</v>
      </c>
      <c r="G491" s="43">
        <f>400000-300000</f>
        <v>100000</v>
      </c>
      <c r="H491" s="43">
        <f>400000-50505</f>
        <v>349495</v>
      </c>
      <c r="I491" s="43">
        <f>400000-300000</f>
        <v>100000</v>
      </c>
    </row>
    <row r="492" spans="1:9" ht="16.5">
      <c r="A492" s="41" t="s">
        <v>65</v>
      </c>
      <c r="B492" s="23">
        <v>910</v>
      </c>
      <c r="C492" s="18" t="s">
        <v>12</v>
      </c>
      <c r="D492" s="18" t="s">
        <v>10</v>
      </c>
      <c r="E492" s="18"/>
      <c r="F492" s="18"/>
      <c r="G492" s="42">
        <f>G493</f>
        <v>21645800</v>
      </c>
      <c r="H492" s="42">
        <f>H493</f>
        <v>21645800</v>
      </c>
      <c r="I492" s="42">
        <f>I493</f>
        <v>21645800</v>
      </c>
    </row>
    <row r="493" spans="1:9" s="66" customFormat="1" ht="33">
      <c r="A493" s="41" t="s">
        <v>1133</v>
      </c>
      <c r="B493" s="23">
        <v>910</v>
      </c>
      <c r="C493" s="18" t="s">
        <v>12</v>
      </c>
      <c r="D493" s="18" t="s">
        <v>10</v>
      </c>
      <c r="E493" s="61" t="s">
        <v>234</v>
      </c>
      <c r="F493" s="59"/>
      <c r="G493" s="43">
        <f aca="true" t="shared" si="62" ref="G493:I496">G494</f>
        <v>21645800</v>
      </c>
      <c r="H493" s="43">
        <f t="shared" si="62"/>
        <v>21645800</v>
      </c>
      <c r="I493" s="43">
        <f t="shared" si="62"/>
        <v>21645800</v>
      </c>
    </row>
    <row r="494" spans="1:9" s="66" customFormat="1" ht="16.5">
      <c r="A494" s="41" t="s">
        <v>167</v>
      </c>
      <c r="B494" s="23">
        <v>910</v>
      </c>
      <c r="C494" s="18" t="s">
        <v>12</v>
      </c>
      <c r="D494" s="18" t="s">
        <v>10</v>
      </c>
      <c r="E494" s="18" t="s">
        <v>271</v>
      </c>
      <c r="F494" s="59"/>
      <c r="G494" s="43">
        <f>G495</f>
        <v>21645800</v>
      </c>
      <c r="H494" s="43">
        <f t="shared" si="62"/>
        <v>21645800</v>
      </c>
      <c r="I494" s="43">
        <f t="shared" si="62"/>
        <v>21645800</v>
      </c>
    </row>
    <row r="495" spans="1:9" s="66" customFormat="1" ht="33">
      <c r="A495" s="102" t="s">
        <v>342</v>
      </c>
      <c r="B495" s="23">
        <v>910</v>
      </c>
      <c r="C495" s="18" t="s">
        <v>12</v>
      </c>
      <c r="D495" s="18" t="s">
        <v>10</v>
      </c>
      <c r="E495" s="18" t="s">
        <v>343</v>
      </c>
      <c r="F495" s="59"/>
      <c r="G495" s="43">
        <f>G496</f>
        <v>21645800</v>
      </c>
      <c r="H495" s="43">
        <f t="shared" si="62"/>
        <v>21645800</v>
      </c>
      <c r="I495" s="43">
        <f t="shared" si="62"/>
        <v>21645800</v>
      </c>
    </row>
    <row r="496" spans="1:9" s="66" customFormat="1" ht="33">
      <c r="A496" s="102" t="s">
        <v>168</v>
      </c>
      <c r="B496" s="23">
        <v>910</v>
      </c>
      <c r="C496" s="18" t="s">
        <v>12</v>
      </c>
      <c r="D496" s="18" t="s">
        <v>10</v>
      </c>
      <c r="E496" s="18" t="s">
        <v>344</v>
      </c>
      <c r="F496" s="59"/>
      <c r="G496" s="43">
        <f t="shared" si="62"/>
        <v>21645800</v>
      </c>
      <c r="H496" s="43">
        <f t="shared" si="62"/>
        <v>21645800</v>
      </c>
      <c r="I496" s="43">
        <f t="shared" si="62"/>
        <v>21645800</v>
      </c>
    </row>
    <row r="497" spans="1:9" s="66" customFormat="1" ht="33">
      <c r="A497" s="41" t="s">
        <v>130</v>
      </c>
      <c r="B497" s="23">
        <v>910</v>
      </c>
      <c r="C497" s="18" t="s">
        <v>12</v>
      </c>
      <c r="D497" s="18" t="s">
        <v>10</v>
      </c>
      <c r="E497" s="18" t="s">
        <v>344</v>
      </c>
      <c r="F497" s="59">
        <v>240</v>
      </c>
      <c r="G497" s="43">
        <v>21645800</v>
      </c>
      <c r="H497" s="43">
        <v>21645800</v>
      </c>
      <c r="I497" s="43">
        <v>21645800</v>
      </c>
    </row>
    <row r="498" spans="1:9" ht="16.5">
      <c r="A498" s="41" t="s">
        <v>49</v>
      </c>
      <c r="B498" s="23">
        <v>910</v>
      </c>
      <c r="C498" s="18" t="s">
        <v>13</v>
      </c>
      <c r="D498" s="18"/>
      <c r="E498" s="18"/>
      <c r="F498" s="18"/>
      <c r="G498" s="43">
        <f>G499+G507</f>
        <v>13129900</v>
      </c>
      <c r="H498" s="43">
        <f>H499+H507</f>
        <v>13379900</v>
      </c>
      <c r="I498" s="43">
        <f>I499+I507</f>
        <v>13377950</v>
      </c>
    </row>
    <row r="499" spans="1:9" ht="16.5">
      <c r="A499" s="41" t="s">
        <v>51</v>
      </c>
      <c r="B499" s="23">
        <v>910</v>
      </c>
      <c r="C499" s="19" t="s">
        <v>13</v>
      </c>
      <c r="D499" s="19" t="s">
        <v>14</v>
      </c>
      <c r="E499" s="18"/>
      <c r="F499" s="18"/>
      <c r="G499" s="43">
        <f aca="true" t="shared" si="63" ref="G499:I500">G500</f>
        <v>4335000</v>
      </c>
      <c r="H499" s="43">
        <f t="shared" si="63"/>
        <v>4585000</v>
      </c>
      <c r="I499" s="43">
        <f t="shared" si="63"/>
        <v>4585000</v>
      </c>
    </row>
    <row r="500" spans="1:9" s="66" customFormat="1" ht="49.5">
      <c r="A500" s="41" t="s">
        <v>1134</v>
      </c>
      <c r="B500" s="23">
        <v>910</v>
      </c>
      <c r="C500" s="19" t="s">
        <v>13</v>
      </c>
      <c r="D500" s="19" t="s">
        <v>14</v>
      </c>
      <c r="E500" s="61" t="s">
        <v>238</v>
      </c>
      <c r="F500" s="59"/>
      <c r="G500" s="43">
        <f t="shared" si="63"/>
        <v>4335000</v>
      </c>
      <c r="H500" s="43">
        <f t="shared" si="63"/>
        <v>4585000</v>
      </c>
      <c r="I500" s="43">
        <f t="shared" si="63"/>
        <v>4585000</v>
      </c>
    </row>
    <row r="501" spans="1:9" s="66" customFormat="1" ht="33">
      <c r="A501" s="41" t="s">
        <v>79</v>
      </c>
      <c r="B501" s="23">
        <v>910</v>
      </c>
      <c r="C501" s="19" t="s">
        <v>13</v>
      </c>
      <c r="D501" s="19" t="s">
        <v>14</v>
      </c>
      <c r="E501" s="18" t="s">
        <v>268</v>
      </c>
      <c r="F501" s="59"/>
      <c r="G501" s="43">
        <f>G502</f>
        <v>4335000</v>
      </c>
      <c r="H501" s="43">
        <f aca="true" t="shared" si="64" ref="H501:I503">H502</f>
        <v>4585000</v>
      </c>
      <c r="I501" s="43">
        <f t="shared" si="64"/>
        <v>4585000</v>
      </c>
    </row>
    <row r="502" spans="1:9" s="66" customFormat="1" ht="16.5">
      <c r="A502" s="41" t="s">
        <v>335</v>
      </c>
      <c r="B502" s="23">
        <v>910</v>
      </c>
      <c r="C502" s="19" t="s">
        <v>13</v>
      </c>
      <c r="D502" s="19" t="s">
        <v>14</v>
      </c>
      <c r="E502" s="18" t="s">
        <v>334</v>
      </c>
      <c r="F502" s="59"/>
      <c r="G502" s="43">
        <f>G503+G505</f>
        <v>4335000</v>
      </c>
      <c r="H502" s="43">
        <f>H503+H505</f>
        <v>4585000</v>
      </c>
      <c r="I502" s="43">
        <f>I503+I505</f>
        <v>4585000</v>
      </c>
    </row>
    <row r="503" spans="1:9" s="66" customFormat="1" ht="33" hidden="1">
      <c r="A503" s="108" t="s">
        <v>524</v>
      </c>
      <c r="B503" s="23">
        <v>910</v>
      </c>
      <c r="C503" s="19" t="s">
        <v>13</v>
      </c>
      <c r="D503" s="19" t="s">
        <v>14</v>
      </c>
      <c r="E503" s="18" t="s">
        <v>977</v>
      </c>
      <c r="F503" s="59"/>
      <c r="G503" s="43">
        <f>G504</f>
        <v>0</v>
      </c>
      <c r="H503" s="43">
        <f t="shared" si="64"/>
        <v>0</v>
      </c>
      <c r="I503" s="43">
        <f t="shared" si="64"/>
        <v>0</v>
      </c>
    </row>
    <row r="504" spans="1:9" s="66" customFormat="1" ht="33" hidden="1">
      <c r="A504" s="144" t="s">
        <v>130</v>
      </c>
      <c r="B504" s="23">
        <v>910</v>
      </c>
      <c r="C504" s="19" t="s">
        <v>13</v>
      </c>
      <c r="D504" s="19" t="s">
        <v>14</v>
      </c>
      <c r="E504" s="18" t="s">
        <v>977</v>
      </c>
      <c r="F504" s="59">
        <v>240</v>
      </c>
      <c r="G504" s="43"/>
      <c r="H504" s="43"/>
      <c r="I504" s="43"/>
    </row>
    <row r="505" spans="1:9" s="66" customFormat="1" ht="33">
      <c r="A505" s="40" t="s">
        <v>549</v>
      </c>
      <c r="B505" s="23">
        <v>910</v>
      </c>
      <c r="C505" s="143" t="s">
        <v>13</v>
      </c>
      <c r="D505" s="143" t="s">
        <v>14</v>
      </c>
      <c r="E505" s="18" t="s">
        <v>1248</v>
      </c>
      <c r="F505" s="18"/>
      <c r="G505" s="43">
        <f>G506</f>
        <v>4335000</v>
      </c>
      <c r="H505" s="43">
        <f>H506</f>
        <v>4585000</v>
      </c>
      <c r="I505" s="43">
        <f>I506</f>
        <v>4585000</v>
      </c>
    </row>
    <row r="506" spans="1:9" s="66" customFormat="1" ht="49.5">
      <c r="A506" s="40" t="s">
        <v>241</v>
      </c>
      <c r="B506" s="23">
        <v>910</v>
      </c>
      <c r="C506" s="143" t="s">
        <v>13</v>
      </c>
      <c r="D506" s="143" t="s">
        <v>14</v>
      </c>
      <c r="E506" s="18" t="s">
        <v>1248</v>
      </c>
      <c r="F506" s="18" t="s">
        <v>521</v>
      </c>
      <c r="G506" s="43">
        <f>4635000-300000</f>
        <v>4335000</v>
      </c>
      <c r="H506" s="43">
        <v>4585000</v>
      </c>
      <c r="I506" s="43">
        <v>4585000</v>
      </c>
    </row>
    <row r="507" spans="1:9" s="66" customFormat="1" ht="16.5">
      <c r="A507" s="41" t="s">
        <v>516</v>
      </c>
      <c r="B507" s="23">
        <v>910</v>
      </c>
      <c r="C507" s="18" t="s">
        <v>13</v>
      </c>
      <c r="D507" s="18" t="s">
        <v>13</v>
      </c>
      <c r="E507" s="18"/>
      <c r="F507" s="18"/>
      <c r="G507" s="43">
        <f aca="true" t="shared" si="65" ref="G507:I508">G508</f>
        <v>8794900</v>
      </c>
      <c r="H507" s="43">
        <f t="shared" si="65"/>
        <v>8794900</v>
      </c>
      <c r="I507" s="43">
        <f t="shared" si="65"/>
        <v>8792950</v>
      </c>
    </row>
    <row r="508" spans="1:9" s="66" customFormat="1" ht="49.5">
      <c r="A508" s="41" t="s">
        <v>1134</v>
      </c>
      <c r="B508" s="23">
        <v>910</v>
      </c>
      <c r="C508" s="18" t="s">
        <v>13</v>
      </c>
      <c r="D508" s="18" t="s">
        <v>13</v>
      </c>
      <c r="E508" s="61" t="s">
        <v>238</v>
      </c>
      <c r="F508" s="59"/>
      <c r="G508" s="43">
        <f t="shared" si="65"/>
        <v>8794900</v>
      </c>
      <c r="H508" s="43">
        <f t="shared" si="65"/>
        <v>8794900</v>
      </c>
      <c r="I508" s="43">
        <f t="shared" si="65"/>
        <v>8792950</v>
      </c>
    </row>
    <row r="509" spans="1:9" s="66" customFormat="1" ht="16.5">
      <c r="A509" s="68" t="s">
        <v>317</v>
      </c>
      <c r="B509" s="23">
        <v>910</v>
      </c>
      <c r="C509" s="18" t="s">
        <v>13</v>
      </c>
      <c r="D509" s="18" t="s">
        <v>13</v>
      </c>
      <c r="E509" s="18" t="s">
        <v>318</v>
      </c>
      <c r="F509" s="59"/>
      <c r="G509" s="43">
        <f aca="true" t="shared" si="66" ref="G509:I510">G510</f>
        <v>8794900</v>
      </c>
      <c r="H509" s="43">
        <f t="shared" si="66"/>
        <v>8794900</v>
      </c>
      <c r="I509" s="43">
        <f t="shared" si="66"/>
        <v>8792950</v>
      </c>
    </row>
    <row r="510" spans="1:9" s="66" customFormat="1" ht="16.5">
      <c r="A510" s="68" t="s">
        <v>177</v>
      </c>
      <c r="B510" s="23">
        <v>910</v>
      </c>
      <c r="C510" s="19" t="s">
        <v>13</v>
      </c>
      <c r="D510" s="19" t="s">
        <v>13</v>
      </c>
      <c r="E510" s="18" t="s">
        <v>319</v>
      </c>
      <c r="F510" s="59"/>
      <c r="G510" s="43">
        <f t="shared" si="66"/>
        <v>8794900</v>
      </c>
      <c r="H510" s="43">
        <f t="shared" si="66"/>
        <v>8794900</v>
      </c>
      <c r="I510" s="43">
        <f t="shared" si="66"/>
        <v>8792950</v>
      </c>
    </row>
    <row r="511" spans="1:9" ht="16.5">
      <c r="A511" s="68" t="s">
        <v>129</v>
      </c>
      <c r="B511" s="23">
        <v>910</v>
      </c>
      <c r="C511" s="19" t="s">
        <v>13</v>
      </c>
      <c r="D511" s="19" t="s">
        <v>13</v>
      </c>
      <c r="E511" s="18" t="s">
        <v>320</v>
      </c>
      <c r="F511" s="59"/>
      <c r="G511" s="43">
        <f>G512+G513+G514</f>
        <v>8794900</v>
      </c>
      <c r="H511" s="43">
        <f>H512+H513+H514</f>
        <v>8794900</v>
      </c>
      <c r="I511" s="43">
        <f>I512+I513+I514</f>
        <v>8792950</v>
      </c>
    </row>
    <row r="512" spans="1:9" ht="33">
      <c r="A512" s="41" t="s">
        <v>127</v>
      </c>
      <c r="B512" s="23">
        <v>910</v>
      </c>
      <c r="C512" s="19" t="s">
        <v>13</v>
      </c>
      <c r="D512" s="19" t="s">
        <v>13</v>
      </c>
      <c r="E512" s="18" t="s">
        <v>320</v>
      </c>
      <c r="F512" s="59">
        <v>120</v>
      </c>
      <c r="G512" s="43">
        <v>7209100</v>
      </c>
      <c r="H512" s="43">
        <v>7209100</v>
      </c>
      <c r="I512" s="43">
        <v>7209100</v>
      </c>
    </row>
    <row r="513" spans="1:9" s="66" customFormat="1" ht="33">
      <c r="A513" s="41" t="s">
        <v>130</v>
      </c>
      <c r="B513" s="23">
        <v>910</v>
      </c>
      <c r="C513" s="19" t="s">
        <v>13</v>
      </c>
      <c r="D513" s="19" t="s">
        <v>13</v>
      </c>
      <c r="E513" s="18" t="s">
        <v>320</v>
      </c>
      <c r="F513" s="59">
        <v>240</v>
      </c>
      <c r="G513" s="43">
        <f>1583750</f>
        <v>1583750</v>
      </c>
      <c r="H513" s="43">
        <v>1583750</v>
      </c>
      <c r="I513" s="43">
        <f>1583750-1950</f>
        <v>1581800</v>
      </c>
    </row>
    <row r="514" spans="1:9" s="66" customFormat="1" ht="16.5">
      <c r="A514" s="41" t="s">
        <v>132</v>
      </c>
      <c r="B514" s="23">
        <v>910</v>
      </c>
      <c r="C514" s="19" t="s">
        <v>13</v>
      </c>
      <c r="D514" s="19" t="s">
        <v>13</v>
      </c>
      <c r="E514" s="18" t="s">
        <v>320</v>
      </c>
      <c r="F514" s="59">
        <v>850</v>
      </c>
      <c r="G514" s="43">
        <v>2050</v>
      </c>
      <c r="H514" s="43">
        <v>2050</v>
      </c>
      <c r="I514" s="43">
        <v>2050</v>
      </c>
    </row>
    <row r="515" spans="1:9" s="66" customFormat="1" ht="16.5">
      <c r="A515" s="41" t="s">
        <v>178</v>
      </c>
      <c r="B515" s="23">
        <v>910</v>
      </c>
      <c r="C515" s="18" t="s">
        <v>8</v>
      </c>
      <c r="D515" s="18"/>
      <c r="E515" s="18"/>
      <c r="F515" s="18"/>
      <c r="G515" s="43">
        <f>G516+G529+G549+G554</f>
        <v>221736797.69</v>
      </c>
      <c r="H515" s="43">
        <f>H516+H529+H549+H554</f>
        <v>5795959.6</v>
      </c>
      <c r="I515" s="43">
        <f>I516+I529+I549+I554</f>
        <v>2957592.6</v>
      </c>
    </row>
    <row r="516" spans="1:9" s="66" customFormat="1" ht="16.5">
      <c r="A516" s="103" t="s">
        <v>6</v>
      </c>
      <c r="B516" s="104">
        <v>910</v>
      </c>
      <c r="C516" s="100" t="s">
        <v>8</v>
      </c>
      <c r="D516" s="18" t="s">
        <v>9</v>
      </c>
      <c r="E516" s="18"/>
      <c r="F516" s="18"/>
      <c r="G516" s="43">
        <f aca="true" t="shared" si="67" ref="G516:I517">G517</f>
        <v>52478190.31</v>
      </c>
      <c r="H516" s="43">
        <f t="shared" si="67"/>
        <v>0</v>
      </c>
      <c r="I516" s="43">
        <f t="shared" si="67"/>
        <v>0</v>
      </c>
    </row>
    <row r="517" spans="1:9" s="66" customFormat="1" ht="33">
      <c r="A517" s="41" t="s">
        <v>1130</v>
      </c>
      <c r="B517" s="104">
        <v>910</v>
      </c>
      <c r="C517" s="100" t="s">
        <v>8</v>
      </c>
      <c r="D517" s="18" t="s">
        <v>9</v>
      </c>
      <c r="E517" s="61" t="s">
        <v>253</v>
      </c>
      <c r="F517" s="59"/>
      <c r="G517" s="43">
        <f t="shared" si="67"/>
        <v>52478190.31</v>
      </c>
      <c r="H517" s="43">
        <f t="shared" si="67"/>
        <v>0</v>
      </c>
      <c r="I517" s="43">
        <f t="shared" si="67"/>
        <v>0</v>
      </c>
    </row>
    <row r="518" spans="1:9" s="66" customFormat="1" ht="33">
      <c r="A518" s="41" t="s">
        <v>509</v>
      </c>
      <c r="B518" s="104">
        <v>910</v>
      </c>
      <c r="C518" s="100" t="s">
        <v>8</v>
      </c>
      <c r="D518" s="18" t="s">
        <v>9</v>
      </c>
      <c r="E518" s="18" t="s">
        <v>261</v>
      </c>
      <c r="F518" s="59"/>
      <c r="G518" s="43">
        <f>G519+G526</f>
        <v>52478190.31</v>
      </c>
      <c r="H518" s="43">
        <f>H519+H526</f>
        <v>0</v>
      </c>
      <c r="I518" s="43">
        <f>I519+I526</f>
        <v>0</v>
      </c>
    </row>
    <row r="519" spans="1:9" s="66" customFormat="1" ht="16.5">
      <c r="A519" s="41" t="s">
        <v>243</v>
      </c>
      <c r="B519" s="104">
        <v>910</v>
      </c>
      <c r="C519" s="100" t="s">
        <v>8</v>
      </c>
      <c r="D519" s="18" t="s">
        <v>9</v>
      </c>
      <c r="E519" s="18" t="s">
        <v>284</v>
      </c>
      <c r="F519" s="59"/>
      <c r="G519" s="43">
        <f>G520+G524</f>
        <v>386392.22</v>
      </c>
      <c r="H519" s="43">
        <f>H520+H524</f>
        <v>0</v>
      </c>
      <c r="I519" s="43">
        <f>I520+I524</f>
        <v>0</v>
      </c>
    </row>
    <row r="520" spans="1:9" s="66" customFormat="1" ht="33">
      <c r="A520" s="41" t="s">
        <v>472</v>
      </c>
      <c r="B520" s="23">
        <v>910</v>
      </c>
      <c r="C520" s="100" t="s">
        <v>8</v>
      </c>
      <c r="D520" s="18" t="s">
        <v>9</v>
      </c>
      <c r="E520" s="61" t="s">
        <v>478</v>
      </c>
      <c r="F520" s="59"/>
      <c r="G520" s="43">
        <f>G521+G522+G523</f>
        <v>386392.22</v>
      </c>
      <c r="H520" s="43">
        <f>H521+H522+H523</f>
        <v>0</v>
      </c>
      <c r="I520" s="43">
        <f>I521+I522+I523</f>
        <v>0</v>
      </c>
    </row>
    <row r="521" spans="1:9" ht="33" hidden="1">
      <c r="A521" s="41" t="s">
        <v>130</v>
      </c>
      <c r="B521" s="23">
        <v>910</v>
      </c>
      <c r="C521" s="100" t="s">
        <v>8</v>
      </c>
      <c r="D521" s="18" t="s">
        <v>9</v>
      </c>
      <c r="E521" s="61" t="s">
        <v>478</v>
      </c>
      <c r="F521" s="59">
        <v>240</v>
      </c>
      <c r="G521" s="43"/>
      <c r="H521" s="43"/>
      <c r="I521" s="43"/>
    </row>
    <row r="522" spans="1:9" s="66" customFormat="1" ht="16.5" hidden="1">
      <c r="A522" s="41" t="s">
        <v>164</v>
      </c>
      <c r="B522" s="23">
        <v>910</v>
      </c>
      <c r="C522" s="100" t="s">
        <v>8</v>
      </c>
      <c r="D522" s="18" t="s">
        <v>9</v>
      </c>
      <c r="E522" s="61" t="s">
        <v>478</v>
      </c>
      <c r="F522" s="59">
        <v>410</v>
      </c>
      <c r="G522" s="43"/>
      <c r="H522" s="43"/>
      <c r="I522" s="43"/>
    </row>
    <row r="523" spans="1:9" s="66" customFormat="1" ht="16.5">
      <c r="A523" s="41" t="s">
        <v>132</v>
      </c>
      <c r="B523" s="23">
        <v>910</v>
      </c>
      <c r="C523" s="100" t="s">
        <v>8</v>
      </c>
      <c r="D523" s="18" t="s">
        <v>9</v>
      </c>
      <c r="E523" s="61" t="s">
        <v>478</v>
      </c>
      <c r="F523" s="59">
        <v>850</v>
      </c>
      <c r="G523" s="43">
        <v>386392.22</v>
      </c>
      <c r="H523" s="43">
        <v>0</v>
      </c>
      <c r="I523" s="43">
        <v>0</v>
      </c>
    </row>
    <row r="524" spans="1:9" s="66" customFormat="1" ht="33" hidden="1">
      <c r="A524" s="41" t="s">
        <v>182</v>
      </c>
      <c r="B524" s="104">
        <v>910</v>
      </c>
      <c r="C524" s="100" t="s">
        <v>8</v>
      </c>
      <c r="D524" s="18" t="s">
        <v>9</v>
      </c>
      <c r="E524" s="18" t="s">
        <v>286</v>
      </c>
      <c r="F524" s="59"/>
      <c r="G524" s="43">
        <f>G525</f>
        <v>0</v>
      </c>
      <c r="H524" s="43">
        <f>H525</f>
        <v>0</v>
      </c>
      <c r="I524" s="43">
        <f>I525</f>
        <v>0</v>
      </c>
    </row>
    <row r="525" spans="1:9" s="66" customFormat="1" ht="33" hidden="1">
      <c r="A525" s="41" t="s">
        <v>130</v>
      </c>
      <c r="B525" s="104">
        <v>910</v>
      </c>
      <c r="C525" s="100" t="s">
        <v>8</v>
      </c>
      <c r="D525" s="18" t="s">
        <v>9</v>
      </c>
      <c r="E525" s="18" t="s">
        <v>286</v>
      </c>
      <c r="F525" s="59">
        <v>240</v>
      </c>
      <c r="G525" s="43"/>
      <c r="H525" s="43"/>
      <c r="I525" s="43"/>
    </row>
    <row r="526" spans="1:9" s="66" customFormat="1" ht="49.5">
      <c r="A526" s="147" t="s">
        <v>536</v>
      </c>
      <c r="B526" s="104">
        <v>910</v>
      </c>
      <c r="C526" s="100" t="s">
        <v>8</v>
      </c>
      <c r="D526" s="18" t="s">
        <v>9</v>
      </c>
      <c r="E526" s="61" t="s">
        <v>537</v>
      </c>
      <c r="F526" s="59"/>
      <c r="G526" s="43">
        <f aca="true" t="shared" si="68" ref="G526:I527">G527</f>
        <v>52091798.09</v>
      </c>
      <c r="H526" s="43">
        <f t="shared" si="68"/>
        <v>0</v>
      </c>
      <c r="I526" s="43">
        <f t="shared" si="68"/>
        <v>0</v>
      </c>
    </row>
    <row r="527" spans="1:9" s="66" customFormat="1" ht="66">
      <c r="A527" s="152" t="s">
        <v>539</v>
      </c>
      <c r="B527" s="104">
        <v>910</v>
      </c>
      <c r="C527" s="100" t="s">
        <v>8</v>
      </c>
      <c r="D527" s="18" t="s">
        <v>9</v>
      </c>
      <c r="E527" s="61" t="s">
        <v>538</v>
      </c>
      <c r="F527" s="59"/>
      <c r="G527" s="43">
        <f t="shared" si="68"/>
        <v>52091798.09</v>
      </c>
      <c r="H527" s="43">
        <f t="shared" si="68"/>
        <v>0</v>
      </c>
      <c r="I527" s="43">
        <f t="shared" si="68"/>
        <v>0</v>
      </c>
    </row>
    <row r="528" spans="1:9" s="66" customFormat="1" ht="16.5">
      <c r="A528" s="41" t="s">
        <v>164</v>
      </c>
      <c r="B528" s="104">
        <v>910</v>
      </c>
      <c r="C528" s="100" t="s">
        <v>8</v>
      </c>
      <c r="D528" s="18" t="s">
        <v>9</v>
      </c>
      <c r="E528" s="61" t="s">
        <v>538</v>
      </c>
      <c r="F528" s="59">
        <v>410</v>
      </c>
      <c r="G528" s="43">
        <f>52617977.77-526179.68</f>
        <v>52091798.09</v>
      </c>
      <c r="H528" s="43">
        <v>0</v>
      </c>
      <c r="I528" s="43">
        <v>0</v>
      </c>
    </row>
    <row r="529" spans="1:9" s="66" customFormat="1" ht="16.5">
      <c r="A529" s="41" t="s">
        <v>2</v>
      </c>
      <c r="B529" s="23">
        <v>910</v>
      </c>
      <c r="C529" s="19" t="s">
        <v>8</v>
      </c>
      <c r="D529" s="19" t="s">
        <v>14</v>
      </c>
      <c r="E529" s="18"/>
      <c r="F529" s="18"/>
      <c r="G529" s="42">
        <f>G530</f>
        <v>167535207.38</v>
      </c>
      <c r="H529" s="42">
        <f>H530</f>
        <v>5000000</v>
      </c>
      <c r="I529" s="42">
        <f>I530</f>
        <v>2280825</v>
      </c>
    </row>
    <row r="530" spans="1:9" s="66" customFormat="1" ht="33">
      <c r="A530" s="41" t="s">
        <v>1130</v>
      </c>
      <c r="B530" s="104">
        <v>910</v>
      </c>
      <c r="C530" s="100" t="s">
        <v>8</v>
      </c>
      <c r="D530" s="18" t="s">
        <v>14</v>
      </c>
      <c r="E530" s="61" t="s">
        <v>253</v>
      </c>
      <c r="F530" s="59"/>
      <c r="G530" s="43">
        <f>G531+G545</f>
        <v>167535207.38</v>
      </c>
      <c r="H530" s="43">
        <f>H531+H545</f>
        <v>5000000</v>
      </c>
      <c r="I530" s="43">
        <f>I531+I545</f>
        <v>2280825</v>
      </c>
    </row>
    <row r="531" spans="1:9" s="66" customFormat="1" ht="33">
      <c r="A531" s="41" t="s">
        <v>509</v>
      </c>
      <c r="B531" s="104">
        <v>910</v>
      </c>
      <c r="C531" s="100" t="s">
        <v>8</v>
      </c>
      <c r="D531" s="18" t="s">
        <v>14</v>
      </c>
      <c r="E531" s="18" t="s">
        <v>261</v>
      </c>
      <c r="F531" s="59"/>
      <c r="G531" s="43">
        <f>G532+G538+G541</f>
        <v>167535207.38</v>
      </c>
      <c r="H531" s="43">
        <f>H532+H538+H541</f>
        <v>5000000</v>
      </c>
      <c r="I531" s="43">
        <f>I532+I538+I541</f>
        <v>2280825</v>
      </c>
    </row>
    <row r="532" spans="1:9" s="66" customFormat="1" ht="33">
      <c r="A532" s="41" t="s">
        <v>244</v>
      </c>
      <c r="B532" s="104">
        <v>910</v>
      </c>
      <c r="C532" s="100" t="s">
        <v>8</v>
      </c>
      <c r="D532" s="18" t="s">
        <v>14</v>
      </c>
      <c r="E532" s="18" t="s">
        <v>289</v>
      </c>
      <c r="F532" s="59"/>
      <c r="G532" s="43">
        <f>G536+G533</f>
        <v>4258761</v>
      </c>
      <c r="H532" s="43">
        <f>H536+H533</f>
        <v>5000000</v>
      </c>
      <c r="I532" s="43">
        <f>I536+I533</f>
        <v>0</v>
      </c>
    </row>
    <row r="533" spans="1:9" s="66" customFormat="1" ht="33">
      <c r="A533" s="41" t="s">
        <v>472</v>
      </c>
      <c r="B533" s="23">
        <v>910</v>
      </c>
      <c r="C533" s="100" t="s">
        <v>8</v>
      </c>
      <c r="D533" s="18" t="s">
        <v>14</v>
      </c>
      <c r="E533" s="61" t="s">
        <v>483</v>
      </c>
      <c r="F533" s="59"/>
      <c r="G533" s="43">
        <f>G534+G535</f>
        <v>858761</v>
      </c>
      <c r="H533" s="43">
        <f>H534+H535</f>
        <v>0</v>
      </c>
      <c r="I533" s="43">
        <f>I534+I535</f>
        <v>0</v>
      </c>
    </row>
    <row r="534" spans="1:9" s="66" customFormat="1" ht="33">
      <c r="A534" s="41" t="s">
        <v>130</v>
      </c>
      <c r="B534" s="23">
        <v>910</v>
      </c>
      <c r="C534" s="100" t="s">
        <v>8</v>
      </c>
      <c r="D534" s="18" t="s">
        <v>14</v>
      </c>
      <c r="E534" s="61" t="s">
        <v>483</v>
      </c>
      <c r="F534" s="59">
        <v>240</v>
      </c>
      <c r="G534" s="43">
        <v>600000</v>
      </c>
      <c r="H534" s="43"/>
      <c r="I534" s="43"/>
    </row>
    <row r="535" spans="1:9" s="66" customFormat="1" ht="16.5">
      <c r="A535" s="41" t="s">
        <v>132</v>
      </c>
      <c r="B535" s="23">
        <v>910</v>
      </c>
      <c r="C535" s="100" t="s">
        <v>8</v>
      </c>
      <c r="D535" s="18" t="s">
        <v>14</v>
      </c>
      <c r="E535" s="61" t="s">
        <v>483</v>
      </c>
      <c r="F535" s="59">
        <v>850</v>
      </c>
      <c r="G535" s="43">
        <v>258761</v>
      </c>
      <c r="H535" s="43">
        <v>0</v>
      </c>
      <c r="I535" s="43">
        <v>0</v>
      </c>
    </row>
    <row r="536" spans="1:9" s="66" customFormat="1" ht="33">
      <c r="A536" s="41" t="s">
        <v>182</v>
      </c>
      <c r="B536" s="104">
        <v>910</v>
      </c>
      <c r="C536" s="100" t="s">
        <v>8</v>
      </c>
      <c r="D536" s="18" t="s">
        <v>14</v>
      </c>
      <c r="E536" s="18" t="s">
        <v>292</v>
      </c>
      <c r="F536" s="59"/>
      <c r="G536" s="43">
        <f>G537</f>
        <v>3400000</v>
      </c>
      <c r="H536" s="43">
        <f>H537</f>
        <v>5000000</v>
      </c>
      <c r="I536" s="43">
        <f>I537</f>
        <v>0</v>
      </c>
    </row>
    <row r="537" spans="1:9" s="66" customFormat="1" ht="33">
      <c r="A537" s="41" t="s">
        <v>130</v>
      </c>
      <c r="B537" s="104">
        <v>910</v>
      </c>
      <c r="C537" s="100" t="s">
        <v>8</v>
      </c>
      <c r="D537" s="18" t="s">
        <v>14</v>
      </c>
      <c r="E537" s="18" t="s">
        <v>292</v>
      </c>
      <c r="F537" s="59">
        <v>240</v>
      </c>
      <c r="G537" s="43">
        <f>3100000+300000</f>
        <v>3400000</v>
      </c>
      <c r="H537" s="43">
        <v>5000000</v>
      </c>
      <c r="I537" s="43">
        <v>0</v>
      </c>
    </row>
    <row r="538" spans="1:9" s="66" customFormat="1" ht="16.5">
      <c r="A538" s="41" t="s">
        <v>534</v>
      </c>
      <c r="B538" s="23">
        <v>910</v>
      </c>
      <c r="C538" s="100" t="s">
        <v>8</v>
      </c>
      <c r="D538" s="18" t="s">
        <v>14</v>
      </c>
      <c r="E538" s="61" t="s">
        <v>533</v>
      </c>
      <c r="F538" s="59"/>
      <c r="G538" s="43">
        <f aca="true" t="shared" si="69" ref="G538:I539">G539</f>
        <v>163276446.38</v>
      </c>
      <c r="H538" s="43">
        <f t="shared" si="69"/>
        <v>0</v>
      </c>
      <c r="I538" s="43">
        <f t="shared" si="69"/>
        <v>0</v>
      </c>
    </row>
    <row r="539" spans="1:9" s="66" customFormat="1" ht="33">
      <c r="A539" s="41" t="s">
        <v>1306</v>
      </c>
      <c r="B539" s="23">
        <v>910</v>
      </c>
      <c r="C539" s="100" t="s">
        <v>8</v>
      </c>
      <c r="D539" s="18" t="s">
        <v>14</v>
      </c>
      <c r="E539" s="61" t="s">
        <v>532</v>
      </c>
      <c r="F539" s="59"/>
      <c r="G539" s="43">
        <f t="shared" si="69"/>
        <v>163276446.38</v>
      </c>
      <c r="H539" s="43">
        <f t="shared" si="69"/>
        <v>0</v>
      </c>
      <c r="I539" s="43">
        <f t="shared" si="69"/>
        <v>0</v>
      </c>
    </row>
    <row r="540" spans="1:9" s="66" customFormat="1" ht="16.5">
      <c r="A540" s="41" t="s">
        <v>164</v>
      </c>
      <c r="B540" s="23">
        <v>910</v>
      </c>
      <c r="C540" s="100" t="s">
        <v>8</v>
      </c>
      <c r="D540" s="18" t="s">
        <v>14</v>
      </c>
      <c r="E540" s="61" t="s">
        <v>532</v>
      </c>
      <c r="F540" s="59">
        <v>410</v>
      </c>
      <c r="G540" s="43">
        <f>181672919-18396472.62</f>
        <v>163276446.38</v>
      </c>
      <c r="H540" s="43">
        <v>0</v>
      </c>
      <c r="I540" s="43">
        <v>0</v>
      </c>
    </row>
    <row r="541" spans="1:9" s="66" customFormat="1" ht="16.5" hidden="1">
      <c r="A541" s="41" t="s">
        <v>543</v>
      </c>
      <c r="B541" s="23">
        <v>910</v>
      </c>
      <c r="C541" s="100" t="s">
        <v>8</v>
      </c>
      <c r="D541" s="18" t="s">
        <v>14</v>
      </c>
      <c r="E541" s="61" t="s">
        <v>544</v>
      </c>
      <c r="F541" s="59"/>
      <c r="G541" s="43">
        <f>G542</f>
        <v>0</v>
      </c>
      <c r="H541" s="43">
        <f>H542</f>
        <v>0</v>
      </c>
      <c r="I541" s="43">
        <f>I542</f>
        <v>2280825</v>
      </c>
    </row>
    <row r="542" spans="1:9" s="66" customFormat="1" ht="49.5" hidden="1">
      <c r="A542" s="41" t="s">
        <v>545</v>
      </c>
      <c r="B542" s="23">
        <v>910</v>
      </c>
      <c r="C542" s="100" t="s">
        <v>8</v>
      </c>
      <c r="D542" s="18" t="s">
        <v>14</v>
      </c>
      <c r="E542" s="61" t="s">
        <v>542</v>
      </c>
      <c r="F542" s="59"/>
      <c r="G542" s="43">
        <f>G543+G544</f>
        <v>0</v>
      </c>
      <c r="H542" s="43">
        <f>H543+H544</f>
        <v>0</v>
      </c>
      <c r="I542" s="43">
        <f>I543+I544</f>
        <v>2280825</v>
      </c>
    </row>
    <row r="543" spans="1:9" s="66" customFormat="1" ht="33" hidden="1">
      <c r="A543" s="41" t="s">
        <v>130</v>
      </c>
      <c r="B543" s="23">
        <v>910</v>
      </c>
      <c r="C543" s="100" t="s">
        <v>8</v>
      </c>
      <c r="D543" s="18" t="s">
        <v>14</v>
      </c>
      <c r="E543" s="61" t="s">
        <v>542</v>
      </c>
      <c r="F543" s="59">
        <v>240</v>
      </c>
      <c r="G543" s="43">
        <f>64390-64390</f>
        <v>0</v>
      </c>
      <c r="H543" s="43">
        <f>50000-50000</f>
        <v>0</v>
      </c>
      <c r="I543" s="43">
        <f>40000+2240825</f>
        <v>2280825</v>
      </c>
    </row>
    <row r="544" spans="1:9" s="66" customFormat="1" ht="16.5" hidden="1">
      <c r="A544" s="41" t="s">
        <v>164</v>
      </c>
      <c r="B544" s="23">
        <v>910</v>
      </c>
      <c r="C544" s="100" t="s">
        <v>8</v>
      </c>
      <c r="D544" s="18" t="s">
        <v>14</v>
      </c>
      <c r="E544" s="61" t="s">
        <v>542</v>
      </c>
      <c r="F544" s="59">
        <v>410</v>
      </c>
      <c r="G544" s="43"/>
      <c r="H544" s="43"/>
      <c r="I544" s="43"/>
    </row>
    <row r="545" spans="1:9" ht="33" hidden="1">
      <c r="A545" s="41" t="s">
        <v>510</v>
      </c>
      <c r="B545" s="23">
        <v>910</v>
      </c>
      <c r="C545" s="19" t="s">
        <v>8</v>
      </c>
      <c r="D545" s="19" t="s">
        <v>14</v>
      </c>
      <c r="E545" s="18" t="s">
        <v>262</v>
      </c>
      <c r="F545" s="59"/>
      <c r="G545" s="43">
        <f aca="true" t="shared" si="70" ref="G545:I547">G546</f>
        <v>0</v>
      </c>
      <c r="H545" s="43">
        <f t="shared" si="70"/>
        <v>0</v>
      </c>
      <c r="I545" s="43">
        <f t="shared" si="70"/>
        <v>0</v>
      </c>
    </row>
    <row r="546" spans="1:9" s="66" customFormat="1" ht="16.5" hidden="1">
      <c r="A546" s="41" t="s">
        <v>246</v>
      </c>
      <c r="B546" s="23">
        <v>910</v>
      </c>
      <c r="C546" s="19" t="s">
        <v>8</v>
      </c>
      <c r="D546" s="19" t="s">
        <v>14</v>
      </c>
      <c r="E546" s="18" t="s">
        <v>298</v>
      </c>
      <c r="F546" s="59"/>
      <c r="G546" s="43">
        <f t="shared" si="70"/>
        <v>0</v>
      </c>
      <c r="H546" s="43">
        <f t="shared" si="70"/>
        <v>0</v>
      </c>
      <c r="I546" s="43">
        <f t="shared" si="70"/>
        <v>0</v>
      </c>
    </row>
    <row r="547" spans="1:9" s="66" customFormat="1" ht="33" hidden="1">
      <c r="A547" s="41" t="s">
        <v>182</v>
      </c>
      <c r="B547" s="23">
        <v>910</v>
      </c>
      <c r="C547" s="19" t="s">
        <v>8</v>
      </c>
      <c r="D547" s="19" t="s">
        <v>14</v>
      </c>
      <c r="E547" s="18" t="s">
        <v>517</v>
      </c>
      <c r="F547" s="59"/>
      <c r="G547" s="43">
        <f>G548</f>
        <v>0</v>
      </c>
      <c r="H547" s="43">
        <f t="shared" si="70"/>
        <v>0</v>
      </c>
      <c r="I547" s="43">
        <f t="shared" si="70"/>
        <v>0</v>
      </c>
    </row>
    <row r="548" spans="1:9" s="66" customFormat="1" ht="33" hidden="1">
      <c r="A548" s="41" t="s">
        <v>130</v>
      </c>
      <c r="B548" s="23">
        <v>910</v>
      </c>
      <c r="C548" s="19" t="s">
        <v>8</v>
      </c>
      <c r="D548" s="19" t="s">
        <v>14</v>
      </c>
      <c r="E548" s="18" t="s">
        <v>517</v>
      </c>
      <c r="F548" s="59">
        <v>240</v>
      </c>
      <c r="G548" s="43">
        <f>15000-15000</f>
        <v>0</v>
      </c>
      <c r="H548" s="43">
        <f>15000-15000</f>
        <v>0</v>
      </c>
      <c r="I548" s="43">
        <f>15000-15000</f>
        <v>0</v>
      </c>
    </row>
    <row r="549" spans="1:9" s="66" customFormat="1" ht="33" hidden="1">
      <c r="A549" s="96" t="s">
        <v>118</v>
      </c>
      <c r="B549" s="104">
        <v>910</v>
      </c>
      <c r="C549" s="18" t="s">
        <v>8</v>
      </c>
      <c r="D549" s="18" t="s">
        <v>13</v>
      </c>
      <c r="E549" s="18"/>
      <c r="F549" s="18"/>
      <c r="G549" s="43">
        <f aca="true" t="shared" si="71" ref="G549:I551">G550</f>
        <v>0</v>
      </c>
      <c r="H549" s="43">
        <f t="shared" si="71"/>
        <v>0</v>
      </c>
      <c r="I549" s="43">
        <f t="shared" si="71"/>
        <v>0</v>
      </c>
    </row>
    <row r="550" spans="1:9" s="66" customFormat="1" ht="33" hidden="1">
      <c r="A550" s="40" t="s">
        <v>1127</v>
      </c>
      <c r="B550" s="104">
        <v>910</v>
      </c>
      <c r="C550" s="18" t="s">
        <v>8</v>
      </c>
      <c r="D550" s="18" t="s">
        <v>13</v>
      </c>
      <c r="E550" s="61" t="s">
        <v>235</v>
      </c>
      <c r="F550" s="59"/>
      <c r="G550" s="43">
        <f t="shared" si="71"/>
        <v>0</v>
      </c>
      <c r="H550" s="43">
        <f t="shared" si="71"/>
        <v>0</v>
      </c>
      <c r="I550" s="43">
        <f t="shared" si="71"/>
        <v>0</v>
      </c>
    </row>
    <row r="551" spans="1:9" s="66" customFormat="1" ht="33" hidden="1">
      <c r="A551" s="74" t="s">
        <v>437</v>
      </c>
      <c r="B551" s="104">
        <v>910</v>
      </c>
      <c r="C551" s="18" t="s">
        <v>8</v>
      </c>
      <c r="D551" s="18" t="s">
        <v>13</v>
      </c>
      <c r="E551" s="61" t="s">
        <v>1231</v>
      </c>
      <c r="F551" s="65"/>
      <c r="G551" s="43">
        <f>G552</f>
        <v>0</v>
      </c>
      <c r="H551" s="43">
        <f t="shared" si="71"/>
        <v>0</v>
      </c>
      <c r="I551" s="43">
        <f t="shared" si="71"/>
        <v>0</v>
      </c>
    </row>
    <row r="552" spans="1:9" ht="33" hidden="1">
      <c r="A552" s="74" t="s">
        <v>456</v>
      </c>
      <c r="B552" s="104">
        <v>910</v>
      </c>
      <c r="C552" s="18" t="s">
        <v>8</v>
      </c>
      <c r="D552" s="18" t="s">
        <v>13</v>
      </c>
      <c r="E552" s="61" t="s">
        <v>1232</v>
      </c>
      <c r="F552" s="65"/>
      <c r="G552" s="43">
        <f>G553</f>
        <v>0</v>
      </c>
      <c r="H552" s="43">
        <f>H553</f>
        <v>0</v>
      </c>
      <c r="I552" s="43">
        <f>I553</f>
        <v>0</v>
      </c>
    </row>
    <row r="553" spans="1:9" s="66" customFormat="1" ht="33" hidden="1">
      <c r="A553" s="41" t="s">
        <v>130</v>
      </c>
      <c r="B553" s="104">
        <v>910</v>
      </c>
      <c r="C553" s="18" t="s">
        <v>8</v>
      </c>
      <c r="D553" s="18" t="s">
        <v>13</v>
      </c>
      <c r="E553" s="61" t="s">
        <v>1232</v>
      </c>
      <c r="F553" s="65">
        <v>240</v>
      </c>
      <c r="G553" s="43"/>
      <c r="H553" s="43"/>
      <c r="I553" s="43"/>
    </row>
    <row r="554" spans="1:9" s="66" customFormat="1" ht="16.5">
      <c r="A554" s="41" t="s">
        <v>53</v>
      </c>
      <c r="B554" s="23">
        <v>910</v>
      </c>
      <c r="C554" s="19" t="s">
        <v>8</v>
      </c>
      <c r="D554" s="18" t="s">
        <v>8</v>
      </c>
      <c r="E554" s="18"/>
      <c r="F554" s="18"/>
      <c r="G554" s="43">
        <f>G555</f>
        <v>1723400</v>
      </c>
      <c r="H554" s="43">
        <f>H555</f>
        <v>795959.6</v>
      </c>
      <c r="I554" s="43">
        <f>I555</f>
        <v>676767.6</v>
      </c>
    </row>
    <row r="555" spans="1:9" s="66" customFormat="1" ht="16.5">
      <c r="A555" s="41" t="s">
        <v>1129</v>
      </c>
      <c r="B555" s="23">
        <v>910</v>
      </c>
      <c r="C555" s="19" t="s">
        <v>8</v>
      </c>
      <c r="D555" s="18" t="s">
        <v>8</v>
      </c>
      <c r="E555" s="61" t="s">
        <v>255</v>
      </c>
      <c r="F555" s="59"/>
      <c r="G555" s="43">
        <f aca="true" t="shared" si="72" ref="G555:I556">G556</f>
        <v>1723400</v>
      </c>
      <c r="H555" s="43">
        <f t="shared" si="72"/>
        <v>795959.6</v>
      </c>
      <c r="I555" s="43">
        <f t="shared" si="72"/>
        <v>676767.6</v>
      </c>
    </row>
    <row r="556" spans="1:9" s="66" customFormat="1" ht="33">
      <c r="A556" s="40" t="s">
        <v>512</v>
      </c>
      <c r="B556" s="23">
        <v>910</v>
      </c>
      <c r="C556" s="19" t="s">
        <v>8</v>
      </c>
      <c r="D556" s="18" t="s">
        <v>8</v>
      </c>
      <c r="E556" s="18" t="s">
        <v>274</v>
      </c>
      <c r="F556" s="59"/>
      <c r="G556" s="43">
        <f t="shared" si="72"/>
        <v>1723400</v>
      </c>
      <c r="H556" s="43">
        <f t="shared" si="72"/>
        <v>795959.6</v>
      </c>
      <c r="I556" s="43">
        <f t="shared" si="72"/>
        <v>676767.6</v>
      </c>
    </row>
    <row r="557" spans="1:9" s="66" customFormat="1" ht="16.5">
      <c r="A557" s="40" t="s">
        <v>384</v>
      </c>
      <c r="B557" s="104">
        <v>910</v>
      </c>
      <c r="C557" s="19" t="s">
        <v>8</v>
      </c>
      <c r="D557" s="18" t="s">
        <v>8</v>
      </c>
      <c r="E557" s="18" t="s">
        <v>385</v>
      </c>
      <c r="F557" s="59"/>
      <c r="G557" s="43">
        <f>G560+G562+G558</f>
        <v>1723400</v>
      </c>
      <c r="H557" s="43">
        <f>H560+H562+H558</f>
        <v>795959.6</v>
      </c>
      <c r="I557" s="43">
        <f>I560+I562+I558</f>
        <v>676767.6</v>
      </c>
    </row>
    <row r="558" spans="1:9" s="66" customFormat="1" ht="33" hidden="1">
      <c r="A558" s="41" t="s">
        <v>182</v>
      </c>
      <c r="B558" s="104">
        <v>910</v>
      </c>
      <c r="C558" s="19" t="s">
        <v>8</v>
      </c>
      <c r="D558" s="18" t="s">
        <v>8</v>
      </c>
      <c r="E558" s="18" t="s">
        <v>535</v>
      </c>
      <c r="F558" s="59"/>
      <c r="G558" s="43">
        <f>G559</f>
        <v>0</v>
      </c>
      <c r="H558" s="43">
        <f>H559</f>
        <v>0</v>
      </c>
      <c r="I558" s="43">
        <f>I559</f>
        <v>0</v>
      </c>
    </row>
    <row r="559" spans="1:9" s="66" customFormat="1" ht="33" hidden="1">
      <c r="A559" s="41" t="s">
        <v>130</v>
      </c>
      <c r="B559" s="104">
        <v>910</v>
      </c>
      <c r="C559" s="19" t="s">
        <v>8</v>
      </c>
      <c r="D559" s="18" t="s">
        <v>8</v>
      </c>
      <c r="E559" s="18" t="s">
        <v>535</v>
      </c>
      <c r="F559" s="59">
        <v>240</v>
      </c>
      <c r="G559" s="43">
        <f>19384-9057-10327</f>
        <v>0</v>
      </c>
      <c r="H559" s="43">
        <f>19384-9057-10327</f>
        <v>0</v>
      </c>
      <c r="I559" s="43">
        <f>19384-9057-10327</f>
        <v>0</v>
      </c>
    </row>
    <row r="560" spans="1:9" ht="16.5">
      <c r="A560" s="40" t="s">
        <v>496</v>
      </c>
      <c r="B560" s="104">
        <v>910</v>
      </c>
      <c r="C560" s="19" t="s">
        <v>8</v>
      </c>
      <c r="D560" s="18" t="s">
        <v>8</v>
      </c>
      <c r="E560" s="18" t="s">
        <v>492</v>
      </c>
      <c r="F560" s="59"/>
      <c r="G560" s="43">
        <f>G561</f>
        <v>1688000</v>
      </c>
      <c r="H560" s="43">
        <f>H561</f>
        <v>788000</v>
      </c>
      <c r="I560" s="43">
        <f>I561</f>
        <v>670000</v>
      </c>
    </row>
    <row r="561" spans="1:9" ht="33">
      <c r="A561" s="41" t="s">
        <v>130</v>
      </c>
      <c r="B561" s="104">
        <v>910</v>
      </c>
      <c r="C561" s="19" t="s">
        <v>8</v>
      </c>
      <c r="D561" s="18" t="s">
        <v>8</v>
      </c>
      <c r="E561" s="18" t="s">
        <v>492</v>
      </c>
      <c r="F561" s="59">
        <v>240</v>
      </c>
      <c r="G561" s="43">
        <v>1688000</v>
      </c>
      <c r="H561" s="43">
        <v>788000</v>
      </c>
      <c r="I561" s="43">
        <v>670000</v>
      </c>
    </row>
    <row r="562" spans="1:9" s="66" customFormat="1" ht="33">
      <c r="A562" s="40" t="s">
        <v>495</v>
      </c>
      <c r="B562" s="104">
        <v>910</v>
      </c>
      <c r="C562" s="19" t="s">
        <v>8</v>
      </c>
      <c r="D562" s="18" t="s">
        <v>8</v>
      </c>
      <c r="E562" s="18" t="s">
        <v>494</v>
      </c>
      <c r="F562" s="59"/>
      <c r="G562" s="43">
        <f>G563</f>
        <v>35400</v>
      </c>
      <c r="H562" s="43">
        <f>H563</f>
        <v>7959.6</v>
      </c>
      <c r="I562" s="43">
        <f>I563</f>
        <v>6767.6</v>
      </c>
    </row>
    <row r="563" spans="1:9" s="66" customFormat="1" ht="33">
      <c r="A563" s="41" t="s">
        <v>130</v>
      </c>
      <c r="B563" s="104">
        <v>910</v>
      </c>
      <c r="C563" s="19" t="s">
        <v>8</v>
      </c>
      <c r="D563" s="18" t="s">
        <v>8</v>
      </c>
      <c r="E563" s="18" t="s">
        <v>494</v>
      </c>
      <c r="F563" s="59">
        <v>240</v>
      </c>
      <c r="G563" s="43">
        <v>35400</v>
      </c>
      <c r="H563" s="43">
        <v>7959.6</v>
      </c>
      <c r="I563" s="43">
        <v>6767.6</v>
      </c>
    </row>
    <row r="564" spans="1:9" s="66" customFormat="1" ht="16.5">
      <c r="A564" s="41" t="s">
        <v>1</v>
      </c>
      <c r="B564" s="23">
        <v>910</v>
      </c>
      <c r="C564" s="18" t="s">
        <v>16</v>
      </c>
      <c r="D564" s="18"/>
      <c r="E564" s="18"/>
      <c r="F564" s="18"/>
      <c r="G564" s="43">
        <f aca="true" t="shared" si="73" ref="G564:I565">G565</f>
        <v>3270000</v>
      </c>
      <c r="H564" s="43">
        <f t="shared" si="73"/>
        <v>3142400</v>
      </c>
      <c r="I564" s="43">
        <f t="shared" si="73"/>
        <v>2043300</v>
      </c>
    </row>
    <row r="565" spans="1:9" s="66" customFormat="1" ht="16.5">
      <c r="A565" s="41" t="s">
        <v>63</v>
      </c>
      <c r="B565" s="23">
        <v>910</v>
      </c>
      <c r="C565" s="18" t="s">
        <v>16</v>
      </c>
      <c r="D565" s="18" t="s">
        <v>18</v>
      </c>
      <c r="E565" s="18"/>
      <c r="F565" s="18"/>
      <c r="G565" s="43">
        <f t="shared" si="73"/>
        <v>3270000</v>
      </c>
      <c r="H565" s="43">
        <f t="shared" si="73"/>
        <v>3142400</v>
      </c>
      <c r="I565" s="43">
        <f t="shared" si="73"/>
        <v>2043300</v>
      </c>
    </row>
    <row r="566" spans="1:9" s="66" customFormat="1" ht="16.5">
      <c r="A566" s="41" t="s">
        <v>1135</v>
      </c>
      <c r="B566" s="23">
        <v>910</v>
      </c>
      <c r="C566" s="19" t="s">
        <v>16</v>
      </c>
      <c r="D566" s="18" t="s">
        <v>18</v>
      </c>
      <c r="E566" s="61" t="s">
        <v>259</v>
      </c>
      <c r="F566" s="59"/>
      <c r="G566" s="43">
        <f aca="true" t="shared" si="74" ref="G566:I567">G567</f>
        <v>3270000</v>
      </c>
      <c r="H566" s="43">
        <f t="shared" si="74"/>
        <v>3142400</v>
      </c>
      <c r="I566" s="43">
        <f t="shared" si="74"/>
        <v>2043300</v>
      </c>
    </row>
    <row r="567" spans="1:9" s="66" customFormat="1" ht="16.5">
      <c r="A567" s="41" t="s">
        <v>508</v>
      </c>
      <c r="B567" s="23">
        <v>910</v>
      </c>
      <c r="C567" s="19" t="s">
        <v>16</v>
      </c>
      <c r="D567" s="18" t="s">
        <v>18</v>
      </c>
      <c r="E567" s="18" t="s">
        <v>331</v>
      </c>
      <c r="F567" s="59"/>
      <c r="G567" s="43">
        <f t="shared" si="74"/>
        <v>3270000</v>
      </c>
      <c r="H567" s="43">
        <f t="shared" si="74"/>
        <v>3142400</v>
      </c>
      <c r="I567" s="43">
        <f t="shared" si="74"/>
        <v>2043300</v>
      </c>
    </row>
    <row r="568" spans="1:9" s="66" customFormat="1" ht="16.5">
      <c r="A568" s="71" t="s">
        <v>329</v>
      </c>
      <c r="B568" s="23">
        <v>910</v>
      </c>
      <c r="C568" s="19" t="s">
        <v>16</v>
      </c>
      <c r="D568" s="18" t="s">
        <v>18</v>
      </c>
      <c r="E568" s="18" t="s">
        <v>332</v>
      </c>
      <c r="F568" s="59"/>
      <c r="G568" s="43">
        <f aca="true" t="shared" si="75" ref="G568:I569">G569</f>
        <v>3270000</v>
      </c>
      <c r="H568" s="43">
        <f t="shared" si="75"/>
        <v>3142400</v>
      </c>
      <c r="I568" s="43">
        <f t="shared" si="75"/>
        <v>2043300</v>
      </c>
    </row>
    <row r="569" spans="1:9" s="66" customFormat="1" ht="16.5">
      <c r="A569" s="40" t="s">
        <v>523</v>
      </c>
      <c r="B569" s="23">
        <v>910</v>
      </c>
      <c r="C569" s="19" t="s">
        <v>16</v>
      </c>
      <c r="D569" s="18" t="s">
        <v>18</v>
      </c>
      <c r="E569" s="18" t="s">
        <v>522</v>
      </c>
      <c r="F569" s="59"/>
      <c r="G569" s="43">
        <f t="shared" si="75"/>
        <v>3270000</v>
      </c>
      <c r="H569" s="43">
        <f t="shared" si="75"/>
        <v>3142400</v>
      </c>
      <c r="I569" s="43">
        <f t="shared" si="75"/>
        <v>2043300</v>
      </c>
    </row>
    <row r="570" spans="1:9" s="66" customFormat="1" ht="33">
      <c r="A570" s="41" t="s">
        <v>192</v>
      </c>
      <c r="B570" s="23">
        <v>910</v>
      </c>
      <c r="C570" s="19" t="s">
        <v>16</v>
      </c>
      <c r="D570" s="18" t="s">
        <v>18</v>
      </c>
      <c r="E570" s="18" t="s">
        <v>522</v>
      </c>
      <c r="F570" s="59">
        <v>320</v>
      </c>
      <c r="G570" s="43">
        <f>390000+2880000</f>
        <v>3270000</v>
      </c>
      <c r="H570" s="43">
        <f>374400+2768000</f>
        <v>3142400</v>
      </c>
      <c r="I570" s="43">
        <f>374400+1668900</f>
        <v>2043300</v>
      </c>
    </row>
    <row r="571" spans="1:9" ht="16.5">
      <c r="A571" s="78" t="s">
        <v>21</v>
      </c>
      <c r="B571" s="23">
        <v>910</v>
      </c>
      <c r="C571" s="18" t="s">
        <v>17</v>
      </c>
      <c r="D571" s="18"/>
      <c r="E571" s="18"/>
      <c r="F571" s="18"/>
      <c r="G571" s="43">
        <f aca="true" t="shared" si="76" ref="G571:I572">G572</f>
        <v>10000</v>
      </c>
      <c r="H571" s="43">
        <f t="shared" si="76"/>
        <v>1050505</v>
      </c>
      <c r="I571" s="43">
        <f t="shared" si="76"/>
        <v>126272000</v>
      </c>
    </row>
    <row r="572" spans="1:9" ht="16.5">
      <c r="A572" s="41" t="s">
        <v>73</v>
      </c>
      <c r="B572" s="23">
        <v>910</v>
      </c>
      <c r="C572" s="18" t="s">
        <v>17</v>
      </c>
      <c r="D572" s="19" t="s">
        <v>9</v>
      </c>
      <c r="E572" s="18"/>
      <c r="F572" s="18"/>
      <c r="G572" s="42">
        <f t="shared" si="76"/>
        <v>10000</v>
      </c>
      <c r="H572" s="42">
        <f t="shared" si="76"/>
        <v>1050505</v>
      </c>
      <c r="I572" s="42">
        <f t="shared" si="76"/>
        <v>126272000</v>
      </c>
    </row>
    <row r="573" spans="1:9" s="66" customFormat="1" ht="33">
      <c r="A573" s="41" t="s">
        <v>1131</v>
      </c>
      <c r="B573" s="23">
        <v>910</v>
      </c>
      <c r="C573" s="18" t="s">
        <v>17</v>
      </c>
      <c r="D573" s="19" t="s">
        <v>9</v>
      </c>
      <c r="E573" s="61" t="s">
        <v>254</v>
      </c>
      <c r="F573" s="59"/>
      <c r="G573" s="43">
        <f>G574+G581</f>
        <v>10000</v>
      </c>
      <c r="H573" s="43">
        <f>H574+H581</f>
        <v>1050505</v>
      </c>
      <c r="I573" s="43">
        <f>I574+I581</f>
        <v>126272000</v>
      </c>
    </row>
    <row r="574" spans="1:9" s="66" customFormat="1" ht="16.5">
      <c r="A574" s="41" t="s">
        <v>425</v>
      </c>
      <c r="B574" s="23">
        <v>910</v>
      </c>
      <c r="C574" s="18" t="s">
        <v>17</v>
      </c>
      <c r="D574" s="19" t="s">
        <v>9</v>
      </c>
      <c r="E574" s="18" t="s">
        <v>375</v>
      </c>
      <c r="F574" s="59"/>
      <c r="G574" s="43">
        <f>G575+G577+G579</f>
        <v>10000</v>
      </c>
      <c r="H574" s="43">
        <f>H575+H577+H579</f>
        <v>1050505</v>
      </c>
      <c r="I574" s="43">
        <f>I575+I577+I579</f>
        <v>0</v>
      </c>
    </row>
    <row r="575" spans="1:9" s="66" customFormat="1" ht="16.5">
      <c r="A575" s="41" t="s">
        <v>490</v>
      </c>
      <c r="B575" s="23">
        <v>910</v>
      </c>
      <c r="C575" s="18" t="s">
        <v>17</v>
      </c>
      <c r="D575" s="19" t="s">
        <v>9</v>
      </c>
      <c r="E575" s="18" t="s">
        <v>491</v>
      </c>
      <c r="F575" s="59"/>
      <c r="G575" s="43">
        <f>G576</f>
        <v>10000</v>
      </c>
      <c r="H575" s="43">
        <f>H576</f>
        <v>0</v>
      </c>
      <c r="I575" s="43">
        <f>I576</f>
        <v>0</v>
      </c>
    </row>
    <row r="576" spans="1:9" s="66" customFormat="1" ht="16.5">
      <c r="A576" s="41" t="s">
        <v>164</v>
      </c>
      <c r="B576" s="23">
        <v>910</v>
      </c>
      <c r="C576" s="18" t="s">
        <v>17</v>
      </c>
      <c r="D576" s="19" t="s">
        <v>9</v>
      </c>
      <c r="E576" s="18" t="s">
        <v>491</v>
      </c>
      <c r="F576" s="59">
        <v>410</v>
      </c>
      <c r="G576" s="43">
        <v>10000</v>
      </c>
      <c r="H576" s="43">
        <v>0</v>
      </c>
      <c r="I576" s="43">
        <v>0</v>
      </c>
    </row>
    <row r="577" spans="1:9" s="66" customFormat="1" ht="33" hidden="1">
      <c r="A577" s="41" t="s">
        <v>1283</v>
      </c>
      <c r="B577" s="23">
        <v>910</v>
      </c>
      <c r="C577" s="18" t="s">
        <v>17</v>
      </c>
      <c r="D577" s="19" t="s">
        <v>9</v>
      </c>
      <c r="E577" s="18" t="s">
        <v>1282</v>
      </c>
      <c r="F577" s="59"/>
      <c r="G577" s="43">
        <f>G578</f>
        <v>0</v>
      </c>
      <c r="H577" s="43">
        <f>H578</f>
        <v>1000000</v>
      </c>
      <c r="I577" s="43">
        <f>I578</f>
        <v>0</v>
      </c>
    </row>
    <row r="578" spans="1:9" s="66" customFormat="1" ht="16.5" hidden="1">
      <c r="A578" s="41" t="s">
        <v>164</v>
      </c>
      <c r="B578" s="23">
        <v>910</v>
      </c>
      <c r="C578" s="18" t="s">
        <v>17</v>
      </c>
      <c r="D578" s="19" t="s">
        <v>9</v>
      </c>
      <c r="E578" s="18" t="s">
        <v>1282</v>
      </c>
      <c r="F578" s="59">
        <v>410</v>
      </c>
      <c r="G578" s="43">
        <v>0</v>
      </c>
      <c r="H578" s="43">
        <v>1000000</v>
      </c>
      <c r="I578" s="43">
        <v>0</v>
      </c>
    </row>
    <row r="579" spans="1:9" s="66" customFormat="1" ht="33" hidden="1">
      <c r="A579" s="41" t="s">
        <v>1284</v>
      </c>
      <c r="B579" s="23">
        <v>910</v>
      </c>
      <c r="C579" s="18" t="s">
        <v>17</v>
      </c>
      <c r="D579" s="19" t="s">
        <v>9</v>
      </c>
      <c r="E579" s="18" t="s">
        <v>1285</v>
      </c>
      <c r="F579" s="59"/>
      <c r="G579" s="43">
        <f>G580</f>
        <v>0</v>
      </c>
      <c r="H579" s="43">
        <f>H580</f>
        <v>50505</v>
      </c>
      <c r="I579" s="43">
        <f>I580</f>
        <v>0</v>
      </c>
    </row>
    <row r="580" spans="1:9" s="66" customFormat="1" ht="16.5" hidden="1">
      <c r="A580" s="41" t="s">
        <v>164</v>
      </c>
      <c r="B580" s="23">
        <v>910</v>
      </c>
      <c r="C580" s="18" t="s">
        <v>17</v>
      </c>
      <c r="D580" s="19" t="s">
        <v>9</v>
      </c>
      <c r="E580" s="18" t="s">
        <v>1285</v>
      </c>
      <c r="F580" s="59">
        <v>410</v>
      </c>
      <c r="G580" s="43">
        <v>0</v>
      </c>
      <c r="H580" s="43">
        <v>50505</v>
      </c>
      <c r="I580" s="43">
        <v>0</v>
      </c>
    </row>
    <row r="581" spans="1:9" s="66" customFormat="1" ht="16.5" hidden="1">
      <c r="A581" s="41" t="s">
        <v>1286</v>
      </c>
      <c r="B581" s="23">
        <v>910</v>
      </c>
      <c r="C581" s="18" t="s">
        <v>17</v>
      </c>
      <c r="D581" s="19" t="s">
        <v>9</v>
      </c>
      <c r="E581" s="18" t="s">
        <v>1289</v>
      </c>
      <c r="F581" s="59"/>
      <c r="G581" s="43">
        <f aca="true" t="shared" si="77" ref="G581:I582">G582</f>
        <v>0</v>
      </c>
      <c r="H581" s="43">
        <f t="shared" si="77"/>
        <v>0</v>
      </c>
      <c r="I581" s="43">
        <f t="shared" si="77"/>
        <v>126272000</v>
      </c>
    </row>
    <row r="582" spans="1:9" s="66" customFormat="1" ht="69.75" customHeight="1" hidden="1">
      <c r="A582" s="41" t="s">
        <v>1287</v>
      </c>
      <c r="B582" s="23">
        <v>910</v>
      </c>
      <c r="C582" s="18" t="s">
        <v>17</v>
      </c>
      <c r="D582" s="19" t="s">
        <v>9</v>
      </c>
      <c r="E582" s="18" t="s">
        <v>1288</v>
      </c>
      <c r="F582" s="59"/>
      <c r="G582" s="43">
        <f t="shared" si="77"/>
        <v>0</v>
      </c>
      <c r="H582" s="43">
        <f t="shared" si="77"/>
        <v>0</v>
      </c>
      <c r="I582" s="43">
        <f t="shared" si="77"/>
        <v>126272000</v>
      </c>
    </row>
    <row r="583" spans="1:9" s="66" customFormat="1" ht="16.5" hidden="1">
      <c r="A583" s="41" t="s">
        <v>164</v>
      </c>
      <c r="B583" s="23">
        <v>910</v>
      </c>
      <c r="C583" s="18" t="s">
        <v>17</v>
      </c>
      <c r="D583" s="19" t="s">
        <v>9</v>
      </c>
      <c r="E583" s="18" t="s">
        <v>1288</v>
      </c>
      <c r="F583" s="59">
        <v>410</v>
      </c>
      <c r="G583" s="43">
        <v>0</v>
      </c>
      <c r="H583" s="43">
        <v>0</v>
      </c>
      <c r="I583" s="43">
        <v>126272000</v>
      </c>
    </row>
    <row r="584" spans="1:14" s="66" customFormat="1" ht="33">
      <c r="A584" s="121" t="s">
        <v>101</v>
      </c>
      <c r="B584" s="122">
        <v>911</v>
      </c>
      <c r="C584" s="123"/>
      <c r="D584" s="123"/>
      <c r="E584" s="123"/>
      <c r="F584" s="123"/>
      <c r="G584" s="124">
        <f>G585+G603+G609+G622+G645+G669+G675+G662+G655</f>
        <v>113191988</v>
      </c>
      <c r="H584" s="124">
        <f>H585+H603+H609+H622+H645+H669+H675+H662</f>
        <v>87737450</v>
      </c>
      <c r="I584" s="124">
        <f>I585+I603+I609+I622+I645+I669+I675+I662</f>
        <v>87695450</v>
      </c>
      <c r="J584" s="106"/>
      <c r="K584" s="106"/>
      <c r="N584" s="106"/>
    </row>
    <row r="585" spans="1:11" s="66" customFormat="1" ht="16.5">
      <c r="A585" s="41" t="s">
        <v>45</v>
      </c>
      <c r="B585" s="23">
        <v>911</v>
      </c>
      <c r="C585" s="18" t="s">
        <v>9</v>
      </c>
      <c r="D585" s="18"/>
      <c r="E585" s="18"/>
      <c r="F585" s="18"/>
      <c r="G585" s="43">
        <f>G586+G591+G598</f>
        <v>10718050</v>
      </c>
      <c r="H585" s="43">
        <f>H586+H591</f>
        <v>10710950</v>
      </c>
      <c r="I585" s="43">
        <f>I586+I591</f>
        <v>10710950</v>
      </c>
      <c r="J585" s="106"/>
      <c r="K585" s="106"/>
    </row>
    <row r="586" spans="1:11" s="66" customFormat="1" ht="49.5">
      <c r="A586" s="41" t="s">
        <v>69</v>
      </c>
      <c r="B586" s="23">
        <v>911</v>
      </c>
      <c r="C586" s="19" t="s">
        <v>9</v>
      </c>
      <c r="D586" s="19" t="s">
        <v>12</v>
      </c>
      <c r="E586" s="19"/>
      <c r="F586" s="18"/>
      <c r="G586" s="43">
        <f>G587</f>
        <v>13000</v>
      </c>
      <c r="H586" s="43">
        <f aca="true" t="shared" si="78" ref="H586:I589">H587</f>
        <v>13000</v>
      </c>
      <c r="I586" s="43">
        <f t="shared" si="78"/>
        <v>13000</v>
      </c>
      <c r="J586" s="106"/>
      <c r="K586" s="106"/>
    </row>
    <row r="587" spans="1:11" s="66" customFormat="1" ht="33">
      <c r="A587" s="40" t="s">
        <v>1127</v>
      </c>
      <c r="B587" s="23">
        <v>911</v>
      </c>
      <c r="C587" s="19" t="s">
        <v>9</v>
      </c>
      <c r="D587" s="19" t="s">
        <v>12</v>
      </c>
      <c r="E587" s="61" t="s">
        <v>235</v>
      </c>
      <c r="F587" s="18"/>
      <c r="G587" s="43">
        <f>G588</f>
        <v>13000</v>
      </c>
      <c r="H587" s="43">
        <f t="shared" si="78"/>
        <v>13000</v>
      </c>
      <c r="I587" s="43">
        <f t="shared" si="78"/>
        <v>13000</v>
      </c>
      <c r="J587" s="106"/>
      <c r="K587" s="106"/>
    </row>
    <row r="588" spans="1:11" s="66" customFormat="1" ht="33">
      <c r="A588" s="77" t="s">
        <v>444</v>
      </c>
      <c r="B588" s="23">
        <v>911</v>
      </c>
      <c r="C588" s="19" t="s">
        <v>9</v>
      </c>
      <c r="D588" s="19" t="s">
        <v>12</v>
      </c>
      <c r="E588" s="61" t="s">
        <v>518</v>
      </c>
      <c r="F588" s="18"/>
      <c r="G588" s="43">
        <f>G589</f>
        <v>13000</v>
      </c>
      <c r="H588" s="43">
        <f t="shared" si="78"/>
        <v>13000</v>
      </c>
      <c r="I588" s="43">
        <f t="shared" si="78"/>
        <v>13000</v>
      </c>
      <c r="J588" s="106"/>
      <c r="K588" s="106"/>
    </row>
    <row r="589" spans="1:11" s="66" customFormat="1" ht="49.5">
      <c r="A589" s="77" t="s">
        <v>205</v>
      </c>
      <c r="B589" s="23">
        <v>911</v>
      </c>
      <c r="C589" s="19" t="s">
        <v>9</v>
      </c>
      <c r="D589" s="19" t="s">
        <v>12</v>
      </c>
      <c r="E589" s="61" t="s">
        <v>1229</v>
      </c>
      <c r="F589" s="18"/>
      <c r="G589" s="43">
        <f>G590</f>
        <v>13000</v>
      </c>
      <c r="H589" s="43">
        <f t="shared" si="78"/>
        <v>13000</v>
      </c>
      <c r="I589" s="43">
        <f t="shared" si="78"/>
        <v>13000</v>
      </c>
      <c r="J589" s="106"/>
      <c r="K589" s="106"/>
    </row>
    <row r="590" spans="1:11" s="66" customFormat="1" ht="16.5">
      <c r="A590" s="41" t="s">
        <v>165</v>
      </c>
      <c r="B590" s="23">
        <v>911</v>
      </c>
      <c r="C590" s="19" t="s">
        <v>9</v>
      </c>
      <c r="D590" s="19" t="s">
        <v>12</v>
      </c>
      <c r="E590" s="61" t="s">
        <v>1229</v>
      </c>
      <c r="F590" s="18" t="s">
        <v>166</v>
      </c>
      <c r="G590" s="43">
        <v>13000</v>
      </c>
      <c r="H590" s="43">
        <v>13000</v>
      </c>
      <c r="I590" s="43">
        <v>13000</v>
      </c>
      <c r="J590" s="106"/>
      <c r="K590" s="106"/>
    </row>
    <row r="591" spans="1:13" s="66" customFormat="1" ht="33">
      <c r="A591" s="41" t="s">
        <v>56</v>
      </c>
      <c r="B591" s="23">
        <v>911</v>
      </c>
      <c r="C591" s="19" t="s">
        <v>9</v>
      </c>
      <c r="D591" s="19" t="s">
        <v>15</v>
      </c>
      <c r="E591" s="18"/>
      <c r="F591" s="18"/>
      <c r="G591" s="43">
        <f>G592</f>
        <v>10697950</v>
      </c>
      <c r="H591" s="43">
        <f>H592</f>
        <v>10697950</v>
      </c>
      <c r="I591" s="43">
        <f>I592</f>
        <v>10697950</v>
      </c>
      <c r="J591" s="106"/>
      <c r="K591" s="106"/>
      <c r="M591" s="106"/>
    </row>
    <row r="592" spans="1:13" s="66" customFormat="1" ht="33">
      <c r="A592" s="40" t="s">
        <v>1127</v>
      </c>
      <c r="B592" s="23">
        <v>911</v>
      </c>
      <c r="C592" s="19" t="s">
        <v>9</v>
      </c>
      <c r="D592" s="19" t="s">
        <v>15</v>
      </c>
      <c r="E592" s="61" t="s">
        <v>235</v>
      </c>
      <c r="F592" s="59"/>
      <c r="G592" s="43">
        <f aca="true" t="shared" si="79" ref="G592:I593">G593</f>
        <v>10697950</v>
      </c>
      <c r="H592" s="43">
        <f t="shared" si="79"/>
        <v>10697950</v>
      </c>
      <c r="I592" s="43">
        <f t="shared" si="79"/>
        <v>10697950</v>
      </c>
      <c r="J592" s="106"/>
      <c r="K592" s="149">
        <v>510</v>
      </c>
      <c r="M592" s="106">
        <f>G680</f>
        <v>100586000</v>
      </c>
    </row>
    <row r="593" spans="1:13" s="66" customFormat="1" ht="16.5">
      <c r="A593" s="77" t="s">
        <v>321</v>
      </c>
      <c r="B593" s="23">
        <v>911</v>
      </c>
      <c r="C593" s="19" t="s">
        <v>9</v>
      </c>
      <c r="D593" s="19" t="s">
        <v>15</v>
      </c>
      <c r="E593" s="61" t="s">
        <v>338</v>
      </c>
      <c r="F593" s="65"/>
      <c r="G593" s="42">
        <f t="shared" si="79"/>
        <v>10697950</v>
      </c>
      <c r="H593" s="42">
        <f t="shared" si="79"/>
        <v>10697950</v>
      </c>
      <c r="I593" s="42">
        <f t="shared" si="79"/>
        <v>10697950</v>
      </c>
      <c r="J593" s="106"/>
      <c r="K593" s="106">
        <v>520</v>
      </c>
      <c r="M593" s="106" t="e">
        <f>#REF!+#REF!+#REF!</f>
        <v>#REF!</v>
      </c>
    </row>
    <row r="594" spans="1:18" ht="16.5">
      <c r="A594" s="77" t="s">
        <v>129</v>
      </c>
      <c r="B594" s="23">
        <v>911</v>
      </c>
      <c r="C594" s="19" t="s">
        <v>9</v>
      </c>
      <c r="D594" s="19" t="s">
        <v>15</v>
      </c>
      <c r="E594" s="61" t="s">
        <v>1221</v>
      </c>
      <c r="F594" s="65"/>
      <c r="G594" s="42">
        <f>G595+G596+G597</f>
        <v>10697950</v>
      </c>
      <c r="H594" s="42">
        <f>H595+H596+H597</f>
        <v>10697950</v>
      </c>
      <c r="I594" s="42">
        <f>I595+I596+I597</f>
        <v>10697950</v>
      </c>
      <c r="J594" s="106"/>
      <c r="K594" s="105">
        <v>540</v>
      </c>
      <c r="L594" s="105"/>
      <c r="M594" s="105" t="e">
        <f>G608+#REF!+G611+G621+#REF!+G627+G632+G634+G638+#REF!+G644+#REF!+G654+#REF!+G685</f>
        <v>#REF!</v>
      </c>
      <c r="N594" s="105"/>
      <c r="Q594" s="105"/>
      <c r="R594" s="105"/>
    </row>
    <row r="595" spans="1:18" ht="33">
      <c r="A595" s="41" t="s">
        <v>127</v>
      </c>
      <c r="B595" s="23">
        <v>911</v>
      </c>
      <c r="C595" s="19" t="s">
        <v>9</v>
      </c>
      <c r="D595" s="19" t="s">
        <v>15</v>
      </c>
      <c r="E595" s="61" t="s">
        <v>1221</v>
      </c>
      <c r="F595" s="59">
        <v>120</v>
      </c>
      <c r="G595" s="42">
        <v>9710400</v>
      </c>
      <c r="H595" s="42">
        <v>9710400</v>
      </c>
      <c r="I595" s="42">
        <v>9710400</v>
      </c>
      <c r="J595" s="106"/>
      <c r="K595" s="105">
        <v>530</v>
      </c>
      <c r="L595" s="105"/>
      <c r="M595" s="105">
        <f>G668</f>
        <v>386000</v>
      </c>
      <c r="N595" s="105"/>
      <c r="R595" s="105"/>
    </row>
    <row r="596" spans="1:18" ht="33">
      <c r="A596" s="41" t="s">
        <v>130</v>
      </c>
      <c r="B596" s="23">
        <v>911</v>
      </c>
      <c r="C596" s="19" t="s">
        <v>9</v>
      </c>
      <c r="D596" s="19" t="s">
        <v>15</v>
      </c>
      <c r="E596" s="61" t="s">
        <v>1221</v>
      </c>
      <c r="F596" s="59">
        <v>240</v>
      </c>
      <c r="G596" s="42">
        <v>972050</v>
      </c>
      <c r="H596" s="42">
        <v>972050</v>
      </c>
      <c r="I596" s="42">
        <v>972050</v>
      </c>
      <c r="J596" s="106"/>
      <c r="K596" s="105"/>
      <c r="L596" s="105"/>
      <c r="M596" s="105" t="e">
        <f>SUM(M591:M595)</f>
        <v>#REF!</v>
      </c>
      <c r="N596" s="105"/>
      <c r="R596" s="105"/>
    </row>
    <row r="597" spans="1:18" ht="16.5">
      <c r="A597" s="41" t="s">
        <v>132</v>
      </c>
      <c r="B597" s="23">
        <v>911</v>
      </c>
      <c r="C597" s="19" t="s">
        <v>9</v>
      </c>
      <c r="D597" s="19" t="s">
        <v>15</v>
      </c>
      <c r="E597" s="61" t="s">
        <v>1221</v>
      </c>
      <c r="F597" s="59">
        <v>850</v>
      </c>
      <c r="G597" s="42">
        <v>15500</v>
      </c>
      <c r="H597" s="42">
        <v>15500</v>
      </c>
      <c r="I597" s="42">
        <v>15500</v>
      </c>
      <c r="J597" s="106"/>
      <c r="K597" s="105"/>
      <c r="L597" s="105"/>
      <c r="M597" s="105"/>
      <c r="N597" s="105"/>
      <c r="R597" s="105"/>
    </row>
    <row r="598" spans="1:18" ht="16.5">
      <c r="A598" s="41" t="s">
        <v>46</v>
      </c>
      <c r="B598" s="23">
        <v>911</v>
      </c>
      <c r="C598" s="19" t="s">
        <v>9</v>
      </c>
      <c r="D598" s="19" t="s">
        <v>19</v>
      </c>
      <c r="E598" s="61"/>
      <c r="F598" s="59"/>
      <c r="G598" s="42">
        <f>G599</f>
        <v>7100</v>
      </c>
      <c r="H598" s="42"/>
      <c r="I598" s="42"/>
      <c r="J598" s="106"/>
      <c r="K598" s="105"/>
      <c r="L598" s="105"/>
      <c r="M598" s="105"/>
      <c r="N598" s="105"/>
      <c r="R598" s="105"/>
    </row>
    <row r="599" spans="1:9" ht="49.5">
      <c r="A599" s="41" t="s">
        <v>201</v>
      </c>
      <c r="B599" s="23">
        <v>911</v>
      </c>
      <c r="C599" s="19" t="s">
        <v>9</v>
      </c>
      <c r="D599" s="19" t="s">
        <v>19</v>
      </c>
      <c r="E599" s="61" t="s">
        <v>210</v>
      </c>
      <c r="F599" s="18"/>
      <c r="G599" s="42">
        <f>G600</f>
        <v>7100</v>
      </c>
      <c r="H599" s="42">
        <f>H600</f>
        <v>961500</v>
      </c>
      <c r="I599" s="42">
        <f>I600</f>
        <v>961500</v>
      </c>
    </row>
    <row r="600" spans="1:9" ht="16.5">
      <c r="A600" s="41" t="s">
        <v>46</v>
      </c>
      <c r="B600" s="23">
        <v>911</v>
      </c>
      <c r="C600" s="18" t="s">
        <v>9</v>
      </c>
      <c r="D600" s="18" t="s">
        <v>19</v>
      </c>
      <c r="E600" s="18" t="s">
        <v>226</v>
      </c>
      <c r="F600" s="59"/>
      <c r="G600" s="42">
        <f>G601</f>
        <v>7100</v>
      </c>
      <c r="H600" s="42">
        <f>H601+H605</f>
        <v>961500</v>
      </c>
      <c r="I600" s="42">
        <f>I601+I605</f>
        <v>961500</v>
      </c>
    </row>
    <row r="601" spans="1:9" ht="16.5">
      <c r="A601" s="95" t="s">
        <v>180</v>
      </c>
      <c r="B601" s="23">
        <v>911</v>
      </c>
      <c r="C601" s="18" t="s">
        <v>9</v>
      </c>
      <c r="D601" s="18" t="s">
        <v>19</v>
      </c>
      <c r="E601" s="18" t="s">
        <v>227</v>
      </c>
      <c r="F601" s="18"/>
      <c r="G601" s="42">
        <f>G602</f>
        <v>7100</v>
      </c>
      <c r="H601" s="42">
        <f>H602+H603+H604</f>
        <v>661500</v>
      </c>
      <c r="I601" s="42">
        <f>I602+I603+I604</f>
        <v>661500</v>
      </c>
    </row>
    <row r="602" spans="1:9" ht="33">
      <c r="A602" s="41" t="s">
        <v>130</v>
      </c>
      <c r="B602" s="23">
        <v>911</v>
      </c>
      <c r="C602" s="18" t="s">
        <v>9</v>
      </c>
      <c r="D602" s="18" t="s">
        <v>19</v>
      </c>
      <c r="E602" s="18" t="s">
        <v>227</v>
      </c>
      <c r="F602" s="18" t="s">
        <v>131</v>
      </c>
      <c r="G602" s="42">
        <v>7100</v>
      </c>
      <c r="H602" s="42">
        <v>61500</v>
      </c>
      <c r="I602" s="42">
        <v>61500</v>
      </c>
    </row>
    <row r="603" spans="1:14" s="66" customFormat="1" ht="16.5">
      <c r="A603" s="41" t="s">
        <v>36</v>
      </c>
      <c r="B603" s="23">
        <v>911</v>
      </c>
      <c r="C603" s="18" t="s">
        <v>18</v>
      </c>
      <c r="D603" s="18"/>
      <c r="E603" s="18"/>
      <c r="F603" s="18"/>
      <c r="G603" s="43">
        <f aca="true" t="shared" si="80" ref="G603:I605">G604</f>
        <v>300000</v>
      </c>
      <c r="H603" s="43">
        <f t="shared" si="80"/>
        <v>300000</v>
      </c>
      <c r="I603" s="43">
        <f t="shared" si="80"/>
        <v>300000</v>
      </c>
      <c r="K603" s="106"/>
      <c r="L603" s="106"/>
      <c r="M603" s="106">
        <f>G591+G650+G674</f>
        <v>10717950</v>
      </c>
      <c r="N603" s="106"/>
    </row>
    <row r="604" spans="1:14" s="66" customFormat="1" ht="33">
      <c r="A604" s="41" t="s">
        <v>70</v>
      </c>
      <c r="B604" s="23">
        <v>911</v>
      </c>
      <c r="C604" s="19" t="s">
        <v>18</v>
      </c>
      <c r="D604" s="19" t="s">
        <v>10</v>
      </c>
      <c r="E604" s="19"/>
      <c r="F604" s="19"/>
      <c r="G604" s="42">
        <f t="shared" si="80"/>
        <v>300000</v>
      </c>
      <c r="H604" s="42">
        <f t="shared" si="80"/>
        <v>300000</v>
      </c>
      <c r="I604" s="42">
        <f t="shared" si="80"/>
        <v>300000</v>
      </c>
      <c r="K604" s="106"/>
      <c r="L604" s="106"/>
      <c r="M604" s="106" t="e">
        <f>M596+M603</f>
        <v>#REF!</v>
      </c>
      <c r="N604" s="146"/>
    </row>
    <row r="605" spans="1:14" s="66" customFormat="1" ht="49.5">
      <c r="A605" s="41" t="s">
        <v>1124</v>
      </c>
      <c r="B605" s="23">
        <v>911</v>
      </c>
      <c r="C605" s="19" t="s">
        <v>18</v>
      </c>
      <c r="D605" s="19" t="s">
        <v>10</v>
      </c>
      <c r="E605" s="61" t="s">
        <v>230</v>
      </c>
      <c r="F605" s="59"/>
      <c r="G605" s="43">
        <f t="shared" si="80"/>
        <v>300000</v>
      </c>
      <c r="H605" s="43">
        <f t="shared" si="80"/>
        <v>300000</v>
      </c>
      <c r="I605" s="43">
        <f t="shared" si="80"/>
        <v>300000</v>
      </c>
      <c r="N605" s="106"/>
    </row>
    <row r="606" spans="1:13" s="66" customFormat="1" ht="16.5">
      <c r="A606" s="41" t="s">
        <v>307</v>
      </c>
      <c r="B606" s="23">
        <v>911</v>
      </c>
      <c r="C606" s="19" t="s">
        <v>18</v>
      </c>
      <c r="D606" s="19" t="s">
        <v>10</v>
      </c>
      <c r="E606" s="18" t="s">
        <v>308</v>
      </c>
      <c r="F606" s="59"/>
      <c r="G606" s="43">
        <f>G607</f>
        <v>300000</v>
      </c>
      <c r="H606" s="43">
        <f aca="true" t="shared" si="81" ref="H606:M606">H607</f>
        <v>300000</v>
      </c>
      <c r="I606" s="43">
        <f t="shared" si="81"/>
        <v>300000</v>
      </c>
      <c r="K606" s="43">
        <f t="shared" si="81"/>
        <v>0</v>
      </c>
      <c r="L606" s="43">
        <f t="shared" si="81"/>
        <v>0</v>
      </c>
      <c r="M606" s="43">
        <f t="shared" si="81"/>
        <v>0</v>
      </c>
    </row>
    <row r="607" spans="1:14" s="66" customFormat="1" ht="49.5">
      <c r="A607" s="41" t="s">
        <v>195</v>
      </c>
      <c r="B607" s="23">
        <v>911</v>
      </c>
      <c r="C607" s="19" t="s">
        <v>18</v>
      </c>
      <c r="D607" s="19" t="s">
        <v>10</v>
      </c>
      <c r="E607" s="18" t="s">
        <v>448</v>
      </c>
      <c r="F607" s="59"/>
      <c r="G607" s="43">
        <f>G608</f>
        <v>300000</v>
      </c>
      <c r="H607" s="43">
        <f>H608</f>
        <v>300000</v>
      </c>
      <c r="I607" s="43">
        <f>I608</f>
        <v>300000</v>
      </c>
      <c r="N607" s="106"/>
    </row>
    <row r="608" spans="1:14" s="66" customFormat="1" ht="16.5">
      <c r="A608" s="41" t="s">
        <v>39</v>
      </c>
      <c r="B608" s="23">
        <v>911</v>
      </c>
      <c r="C608" s="19" t="s">
        <v>18</v>
      </c>
      <c r="D608" s="19" t="s">
        <v>10</v>
      </c>
      <c r="E608" s="18" t="s">
        <v>448</v>
      </c>
      <c r="F608" s="59">
        <v>540</v>
      </c>
      <c r="G608" s="43">
        <v>300000</v>
      </c>
      <c r="H608" s="43">
        <v>300000</v>
      </c>
      <c r="I608" s="43">
        <v>300000</v>
      </c>
      <c r="N608" s="106"/>
    </row>
    <row r="609" spans="1:9" s="66" customFormat="1" ht="16.5">
      <c r="A609" s="40" t="s">
        <v>47</v>
      </c>
      <c r="B609" s="23">
        <v>911</v>
      </c>
      <c r="C609" s="18" t="s">
        <v>12</v>
      </c>
      <c r="D609" s="18"/>
      <c r="E609" s="18"/>
      <c r="F609" s="18"/>
      <c r="G609" s="43">
        <f>G612</f>
        <v>107000</v>
      </c>
      <c r="H609" s="43">
        <f>H612</f>
        <v>69000</v>
      </c>
      <c r="I609" s="43">
        <f>I612</f>
        <v>61000</v>
      </c>
    </row>
    <row r="610" spans="1:9" s="66" customFormat="1" ht="49.5" hidden="1">
      <c r="A610" s="72" t="s">
        <v>487</v>
      </c>
      <c r="B610" s="23">
        <v>911</v>
      </c>
      <c r="C610" s="19" t="s">
        <v>12</v>
      </c>
      <c r="D610" s="19" t="s">
        <v>10</v>
      </c>
      <c r="E610" s="18" t="s">
        <v>476</v>
      </c>
      <c r="F610" s="59"/>
      <c r="G610" s="43">
        <f>G611</f>
        <v>0</v>
      </c>
      <c r="H610" s="43">
        <f>H611</f>
        <v>0</v>
      </c>
      <c r="I610" s="43">
        <f>I611</f>
        <v>0</v>
      </c>
    </row>
    <row r="611" spans="1:9" s="66" customFormat="1" ht="16.5" hidden="1">
      <c r="A611" s="41" t="s">
        <v>39</v>
      </c>
      <c r="B611" s="23">
        <v>911</v>
      </c>
      <c r="C611" s="19" t="s">
        <v>12</v>
      </c>
      <c r="D611" s="19" t="s">
        <v>10</v>
      </c>
      <c r="E611" s="18" t="s">
        <v>476</v>
      </c>
      <c r="F611" s="59">
        <v>540</v>
      </c>
      <c r="G611" s="43"/>
      <c r="H611" s="43"/>
      <c r="I611" s="43"/>
    </row>
    <row r="612" spans="1:9" s="66" customFormat="1" ht="16.5">
      <c r="A612" s="41" t="s">
        <v>20</v>
      </c>
      <c r="B612" s="23">
        <v>911</v>
      </c>
      <c r="C612" s="18" t="s">
        <v>12</v>
      </c>
      <c r="D612" s="18" t="s">
        <v>35</v>
      </c>
      <c r="E612" s="18"/>
      <c r="F612" s="18"/>
      <c r="G612" s="43">
        <f>G613+G618</f>
        <v>107000</v>
      </c>
      <c r="H612" s="43">
        <f>H613+H618</f>
        <v>69000</v>
      </c>
      <c r="I612" s="43">
        <f>I613+I618</f>
        <v>61000</v>
      </c>
    </row>
    <row r="613" spans="1:9" s="66" customFormat="1" ht="16.5">
      <c r="A613" s="41" t="s">
        <v>147</v>
      </c>
      <c r="B613" s="23">
        <v>911</v>
      </c>
      <c r="C613" s="18" t="s">
        <v>12</v>
      </c>
      <c r="D613" s="18" t="s">
        <v>35</v>
      </c>
      <c r="E613" s="61" t="s">
        <v>259</v>
      </c>
      <c r="F613" s="59"/>
      <c r="G613" s="43">
        <f aca="true" t="shared" si="82" ref="G613:I616">G614</f>
        <v>50000</v>
      </c>
      <c r="H613" s="43">
        <f t="shared" si="82"/>
        <v>10000</v>
      </c>
      <c r="I613" s="43">
        <f t="shared" si="82"/>
        <v>1000</v>
      </c>
    </row>
    <row r="614" spans="1:9" s="66" customFormat="1" ht="16.5">
      <c r="A614" s="41" t="s">
        <v>169</v>
      </c>
      <c r="B614" s="23">
        <v>911</v>
      </c>
      <c r="C614" s="18" t="s">
        <v>12</v>
      </c>
      <c r="D614" s="18" t="s">
        <v>35</v>
      </c>
      <c r="E614" s="18" t="s">
        <v>269</v>
      </c>
      <c r="F614" s="59"/>
      <c r="G614" s="43">
        <f t="shared" si="82"/>
        <v>50000</v>
      </c>
      <c r="H614" s="43">
        <f t="shared" si="82"/>
        <v>10000</v>
      </c>
      <c r="I614" s="43">
        <f t="shared" si="82"/>
        <v>1000</v>
      </c>
    </row>
    <row r="615" spans="1:9" s="66" customFormat="1" ht="33">
      <c r="A615" s="67" t="s">
        <v>451</v>
      </c>
      <c r="B615" s="23">
        <v>911</v>
      </c>
      <c r="C615" s="18" t="s">
        <v>12</v>
      </c>
      <c r="D615" s="18" t="s">
        <v>35</v>
      </c>
      <c r="E615" s="18" t="s">
        <v>330</v>
      </c>
      <c r="F615" s="59"/>
      <c r="G615" s="43">
        <f t="shared" si="82"/>
        <v>50000</v>
      </c>
      <c r="H615" s="43">
        <f t="shared" si="82"/>
        <v>10000</v>
      </c>
      <c r="I615" s="43">
        <f t="shared" si="82"/>
        <v>1000</v>
      </c>
    </row>
    <row r="616" spans="1:9" s="66" customFormat="1" ht="49.5">
      <c r="A616" s="67" t="s">
        <v>452</v>
      </c>
      <c r="B616" s="23">
        <v>911</v>
      </c>
      <c r="C616" s="18" t="s">
        <v>12</v>
      </c>
      <c r="D616" s="18" t="s">
        <v>35</v>
      </c>
      <c r="E616" s="18" t="s">
        <v>333</v>
      </c>
      <c r="F616" s="59"/>
      <c r="G616" s="43">
        <f t="shared" si="82"/>
        <v>50000</v>
      </c>
      <c r="H616" s="43">
        <f t="shared" si="82"/>
        <v>10000</v>
      </c>
      <c r="I616" s="43">
        <f t="shared" si="82"/>
        <v>1000</v>
      </c>
    </row>
    <row r="617" spans="1:9" s="66" customFormat="1" ht="16.5">
      <c r="A617" s="74" t="s">
        <v>39</v>
      </c>
      <c r="B617" s="23">
        <v>911</v>
      </c>
      <c r="C617" s="18" t="s">
        <v>12</v>
      </c>
      <c r="D617" s="18" t="s">
        <v>35</v>
      </c>
      <c r="E617" s="18" t="s">
        <v>333</v>
      </c>
      <c r="F617" s="59">
        <v>540</v>
      </c>
      <c r="G617" s="43">
        <v>50000</v>
      </c>
      <c r="H617" s="43">
        <v>10000</v>
      </c>
      <c r="I617" s="43">
        <f>10000-9000</f>
        <v>1000</v>
      </c>
    </row>
    <row r="618" spans="1:9" s="66" customFormat="1" ht="33">
      <c r="A618" s="41" t="s">
        <v>417</v>
      </c>
      <c r="B618" s="23">
        <v>911</v>
      </c>
      <c r="C618" s="18" t="s">
        <v>12</v>
      </c>
      <c r="D618" s="18" t="s">
        <v>35</v>
      </c>
      <c r="E618" s="61" t="s">
        <v>239</v>
      </c>
      <c r="F618" s="59"/>
      <c r="G618" s="43">
        <f aca="true" t="shared" si="83" ref="G618:I620">G619</f>
        <v>57000</v>
      </c>
      <c r="H618" s="43">
        <f t="shared" si="83"/>
        <v>59000</v>
      </c>
      <c r="I618" s="43">
        <f t="shared" si="83"/>
        <v>60000</v>
      </c>
    </row>
    <row r="619" spans="1:9" s="66" customFormat="1" ht="16.5">
      <c r="A619" s="41" t="s">
        <v>418</v>
      </c>
      <c r="B619" s="23">
        <v>911</v>
      </c>
      <c r="C619" s="18" t="s">
        <v>12</v>
      </c>
      <c r="D619" s="18" t="s">
        <v>35</v>
      </c>
      <c r="E619" s="18" t="s">
        <v>419</v>
      </c>
      <c r="F619" s="59"/>
      <c r="G619" s="43">
        <f t="shared" si="83"/>
        <v>57000</v>
      </c>
      <c r="H619" s="43">
        <f t="shared" si="83"/>
        <v>59000</v>
      </c>
      <c r="I619" s="43">
        <f t="shared" si="83"/>
        <v>60000</v>
      </c>
    </row>
    <row r="620" spans="1:9" s="66" customFormat="1" ht="33">
      <c r="A620" s="41" t="s">
        <v>197</v>
      </c>
      <c r="B620" s="23">
        <v>911</v>
      </c>
      <c r="C620" s="18" t="s">
        <v>12</v>
      </c>
      <c r="D620" s="18" t="s">
        <v>35</v>
      </c>
      <c r="E620" s="18" t="s">
        <v>422</v>
      </c>
      <c r="F620" s="59"/>
      <c r="G620" s="43">
        <f t="shared" si="83"/>
        <v>57000</v>
      </c>
      <c r="H620" s="43">
        <f t="shared" si="83"/>
        <v>59000</v>
      </c>
      <c r="I620" s="43">
        <f t="shared" si="83"/>
        <v>60000</v>
      </c>
    </row>
    <row r="621" spans="1:9" s="66" customFormat="1" ht="16.5">
      <c r="A621" s="74" t="s">
        <v>39</v>
      </c>
      <c r="B621" s="23">
        <v>911</v>
      </c>
      <c r="C621" s="18" t="s">
        <v>12</v>
      </c>
      <c r="D621" s="18" t="s">
        <v>35</v>
      </c>
      <c r="E621" s="18" t="s">
        <v>422</v>
      </c>
      <c r="F621" s="59">
        <v>540</v>
      </c>
      <c r="G621" s="43">
        <v>57000</v>
      </c>
      <c r="H621" s="43">
        <v>59000</v>
      </c>
      <c r="I621" s="43">
        <v>60000</v>
      </c>
    </row>
    <row r="622" spans="1:9" s="66" customFormat="1" ht="16.5">
      <c r="A622" s="41" t="s">
        <v>49</v>
      </c>
      <c r="B622" s="23">
        <v>911</v>
      </c>
      <c r="C622" s="18" t="s">
        <v>13</v>
      </c>
      <c r="D622" s="18"/>
      <c r="E622" s="18"/>
      <c r="F622" s="18"/>
      <c r="G622" s="43">
        <f>G623+G639</f>
        <v>132000</v>
      </c>
      <c r="H622" s="43">
        <f>H623+H639</f>
        <v>170000</v>
      </c>
      <c r="I622" s="43">
        <f>I623+I639</f>
        <v>141000</v>
      </c>
    </row>
    <row r="623" spans="1:9" ht="16.5">
      <c r="A623" s="41" t="s">
        <v>51</v>
      </c>
      <c r="B623" s="23">
        <v>911</v>
      </c>
      <c r="C623" s="19" t="s">
        <v>13</v>
      </c>
      <c r="D623" s="19" t="s">
        <v>14</v>
      </c>
      <c r="E623" s="18"/>
      <c r="F623" s="18"/>
      <c r="G623" s="43">
        <f>G624+G628</f>
        <v>102000</v>
      </c>
      <c r="H623" s="43">
        <f>H624+H628</f>
        <v>140000</v>
      </c>
      <c r="I623" s="43">
        <f>I624+I628</f>
        <v>111000</v>
      </c>
    </row>
    <row r="624" spans="1:9" s="66" customFormat="1" ht="33">
      <c r="A624" s="41" t="s">
        <v>1137</v>
      </c>
      <c r="B624" s="23">
        <v>911</v>
      </c>
      <c r="C624" s="19" t="s">
        <v>13</v>
      </c>
      <c r="D624" s="19" t="s">
        <v>14</v>
      </c>
      <c r="E624" s="61" t="s">
        <v>237</v>
      </c>
      <c r="F624" s="59"/>
      <c r="G624" s="43">
        <f aca="true" t="shared" si="84" ref="G624:I626">G625</f>
        <v>12000</v>
      </c>
      <c r="H624" s="43">
        <f t="shared" si="84"/>
        <v>10000</v>
      </c>
      <c r="I624" s="43">
        <f t="shared" si="84"/>
        <v>10000</v>
      </c>
    </row>
    <row r="625" spans="1:9" s="66" customFormat="1" ht="33">
      <c r="A625" s="40" t="s">
        <v>311</v>
      </c>
      <c r="B625" s="23">
        <v>911</v>
      </c>
      <c r="C625" s="19" t="s">
        <v>13</v>
      </c>
      <c r="D625" s="19" t="s">
        <v>14</v>
      </c>
      <c r="E625" s="61" t="s">
        <v>312</v>
      </c>
      <c r="F625" s="59"/>
      <c r="G625" s="43">
        <f t="shared" si="84"/>
        <v>12000</v>
      </c>
      <c r="H625" s="43">
        <f t="shared" si="84"/>
        <v>10000</v>
      </c>
      <c r="I625" s="43">
        <f t="shared" si="84"/>
        <v>10000</v>
      </c>
    </row>
    <row r="626" spans="1:9" s="66" customFormat="1" ht="49.5">
      <c r="A626" s="40" t="s">
        <v>196</v>
      </c>
      <c r="B626" s="23">
        <v>911</v>
      </c>
      <c r="C626" s="19" t="s">
        <v>13</v>
      </c>
      <c r="D626" s="19" t="s">
        <v>14</v>
      </c>
      <c r="E626" s="61" t="s">
        <v>313</v>
      </c>
      <c r="F626" s="59"/>
      <c r="G626" s="43">
        <f t="shared" si="84"/>
        <v>12000</v>
      </c>
      <c r="H626" s="43">
        <f t="shared" si="84"/>
        <v>10000</v>
      </c>
      <c r="I626" s="43">
        <f t="shared" si="84"/>
        <v>10000</v>
      </c>
    </row>
    <row r="627" spans="1:9" s="66" customFormat="1" ht="16.5">
      <c r="A627" s="74" t="s">
        <v>39</v>
      </c>
      <c r="B627" s="23">
        <v>911</v>
      </c>
      <c r="C627" s="19" t="s">
        <v>13</v>
      </c>
      <c r="D627" s="19" t="s">
        <v>14</v>
      </c>
      <c r="E627" s="61" t="s">
        <v>313</v>
      </c>
      <c r="F627" s="59">
        <v>540</v>
      </c>
      <c r="G627" s="43">
        <v>12000</v>
      </c>
      <c r="H627" s="43">
        <v>10000</v>
      </c>
      <c r="I627" s="43">
        <v>10000</v>
      </c>
    </row>
    <row r="628" spans="1:9" s="66" customFormat="1" ht="49.5">
      <c r="A628" s="41" t="s">
        <v>1134</v>
      </c>
      <c r="B628" s="23">
        <v>911</v>
      </c>
      <c r="C628" s="19" t="s">
        <v>13</v>
      </c>
      <c r="D628" s="19" t="s">
        <v>14</v>
      </c>
      <c r="E628" s="61" t="s">
        <v>238</v>
      </c>
      <c r="F628" s="59"/>
      <c r="G628" s="43">
        <f>G629+G635</f>
        <v>90000</v>
      </c>
      <c r="H628" s="43">
        <f>H629+H635</f>
        <v>130000</v>
      </c>
      <c r="I628" s="43">
        <f>I629+I635</f>
        <v>101000</v>
      </c>
    </row>
    <row r="629" spans="1:9" s="66" customFormat="1" ht="33">
      <c r="A629" s="41" t="s">
        <v>79</v>
      </c>
      <c r="B629" s="23">
        <v>911</v>
      </c>
      <c r="C629" s="19" t="s">
        <v>13</v>
      </c>
      <c r="D629" s="19" t="s">
        <v>14</v>
      </c>
      <c r="E629" s="18" t="s">
        <v>268</v>
      </c>
      <c r="F629" s="59"/>
      <c r="G629" s="43">
        <f>G630</f>
        <v>50000</v>
      </c>
      <c r="H629" s="43">
        <f>H630</f>
        <v>100000</v>
      </c>
      <c r="I629" s="43">
        <f>I630</f>
        <v>100000</v>
      </c>
    </row>
    <row r="630" spans="1:9" s="66" customFormat="1" ht="15.75" customHeight="1">
      <c r="A630" s="41" t="s">
        <v>335</v>
      </c>
      <c r="B630" s="23">
        <v>911</v>
      </c>
      <c r="C630" s="19" t="s">
        <v>13</v>
      </c>
      <c r="D630" s="19" t="s">
        <v>14</v>
      </c>
      <c r="E630" s="18" t="s">
        <v>334</v>
      </c>
      <c r="F630" s="59"/>
      <c r="G630" s="43">
        <f>G631+G633</f>
        <v>50000</v>
      </c>
      <c r="H630" s="43">
        <f>H631+H633</f>
        <v>100000</v>
      </c>
      <c r="I630" s="43">
        <f>I631+I633</f>
        <v>100000</v>
      </c>
    </row>
    <row r="631" spans="1:9" s="66" customFormat="1" ht="49.5" hidden="1">
      <c r="A631" s="67" t="s">
        <v>458</v>
      </c>
      <c r="B631" s="23">
        <v>911</v>
      </c>
      <c r="C631" s="19" t="s">
        <v>13</v>
      </c>
      <c r="D631" s="19" t="s">
        <v>14</v>
      </c>
      <c r="E631" s="18" t="s">
        <v>336</v>
      </c>
      <c r="F631" s="59"/>
      <c r="G631" s="43">
        <f>G632</f>
        <v>0</v>
      </c>
      <c r="H631" s="43">
        <f>H632</f>
        <v>100000</v>
      </c>
      <c r="I631" s="43">
        <f>I632</f>
        <v>100000</v>
      </c>
    </row>
    <row r="632" spans="1:9" s="66" customFormat="1" ht="16.5" hidden="1">
      <c r="A632" s="74" t="s">
        <v>39</v>
      </c>
      <c r="B632" s="23">
        <v>911</v>
      </c>
      <c r="C632" s="19" t="s">
        <v>13</v>
      </c>
      <c r="D632" s="19" t="s">
        <v>14</v>
      </c>
      <c r="E632" s="18" t="s">
        <v>336</v>
      </c>
      <c r="F632" s="59">
        <v>540</v>
      </c>
      <c r="G632" s="43">
        <v>0</v>
      </c>
      <c r="H632" s="43">
        <v>100000</v>
      </c>
      <c r="I632" s="43">
        <v>100000</v>
      </c>
    </row>
    <row r="633" spans="1:9" s="66" customFormat="1" ht="49.5">
      <c r="A633" s="41" t="s">
        <v>453</v>
      </c>
      <c r="B633" s="23">
        <v>911</v>
      </c>
      <c r="C633" s="19" t="s">
        <v>13</v>
      </c>
      <c r="D633" s="19" t="s">
        <v>14</v>
      </c>
      <c r="E633" s="18" t="s">
        <v>337</v>
      </c>
      <c r="F633" s="59"/>
      <c r="G633" s="43">
        <f>G634</f>
        <v>50000</v>
      </c>
      <c r="H633" s="43">
        <f>H634</f>
        <v>0</v>
      </c>
      <c r="I633" s="43">
        <f>I634</f>
        <v>0</v>
      </c>
    </row>
    <row r="634" spans="1:9" s="66" customFormat="1" ht="16.5">
      <c r="A634" s="74" t="s">
        <v>39</v>
      </c>
      <c r="B634" s="23">
        <v>911</v>
      </c>
      <c r="C634" s="19" t="s">
        <v>13</v>
      </c>
      <c r="D634" s="19" t="s">
        <v>14</v>
      </c>
      <c r="E634" s="18" t="s">
        <v>337</v>
      </c>
      <c r="F634" s="59">
        <v>540</v>
      </c>
      <c r="G634" s="43">
        <v>50000</v>
      </c>
      <c r="H634" s="43">
        <v>0</v>
      </c>
      <c r="I634" s="43">
        <v>0</v>
      </c>
    </row>
    <row r="635" spans="1:9" s="66" customFormat="1" ht="16.5">
      <c r="A635" s="41" t="s">
        <v>108</v>
      </c>
      <c r="B635" s="23">
        <v>911</v>
      </c>
      <c r="C635" s="19" t="s">
        <v>13</v>
      </c>
      <c r="D635" s="19" t="s">
        <v>14</v>
      </c>
      <c r="E635" s="18" t="s">
        <v>267</v>
      </c>
      <c r="F635" s="59"/>
      <c r="G635" s="43">
        <f aca="true" t="shared" si="85" ref="G635:I637">G636</f>
        <v>40000</v>
      </c>
      <c r="H635" s="43">
        <f t="shared" si="85"/>
        <v>30000</v>
      </c>
      <c r="I635" s="43">
        <f t="shared" si="85"/>
        <v>1000</v>
      </c>
    </row>
    <row r="636" spans="1:9" s="66" customFormat="1" ht="16.5">
      <c r="A636" s="102" t="s">
        <v>314</v>
      </c>
      <c r="B636" s="23">
        <v>911</v>
      </c>
      <c r="C636" s="19" t="s">
        <v>13</v>
      </c>
      <c r="D636" s="19" t="s">
        <v>14</v>
      </c>
      <c r="E636" s="18" t="s">
        <v>315</v>
      </c>
      <c r="F636" s="59"/>
      <c r="G636" s="43">
        <f t="shared" si="85"/>
        <v>40000</v>
      </c>
      <c r="H636" s="43">
        <f t="shared" si="85"/>
        <v>30000</v>
      </c>
      <c r="I636" s="43">
        <f t="shared" si="85"/>
        <v>1000</v>
      </c>
    </row>
    <row r="637" spans="1:9" s="66" customFormat="1" ht="49.5">
      <c r="A637" s="102" t="s">
        <v>198</v>
      </c>
      <c r="B637" s="23">
        <v>911</v>
      </c>
      <c r="C637" s="19" t="s">
        <v>13</v>
      </c>
      <c r="D637" s="19" t="s">
        <v>14</v>
      </c>
      <c r="E637" s="18" t="s">
        <v>316</v>
      </c>
      <c r="F637" s="59"/>
      <c r="G637" s="43">
        <f t="shared" si="85"/>
        <v>40000</v>
      </c>
      <c r="H637" s="43">
        <f t="shared" si="85"/>
        <v>30000</v>
      </c>
      <c r="I637" s="43">
        <f t="shared" si="85"/>
        <v>1000</v>
      </c>
    </row>
    <row r="638" spans="1:9" s="66" customFormat="1" ht="16.5">
      <c r="A638" s="74" t="s">
        <v>39</v>
      </c>
      <c r="B638" s="23">
        <v>911</v>
      </c>
      <c r="C638" s="19" t="s">
        <v>13</v>
      </c>
      <c r="D638" s="19" t="s">
        <v>14</v>
      </c>
      <c r="E638" s="18" t="s">
        <v>316</v>
      </c>
      <c r="F638" s="59">
        <v>540</v>
      </c>
      <c r="G638" s="43">
        <v>40000</v>
      </c>
      <c r="H638" s="43">
        <v>30000</v>
      </c>
      <c r="I638" s="43">
        <f>30000-29000</f>
        <v>1000</v>
      </c>
    </row>
    <row r="639" spans="1:9" s="66" customFormat="1" ht="16.5">
      <c r="A639" s="41" t="s">
        <v>29</v>
      </c>
      <c r="B639" s="23">
        <v>911</v>
      </c>
      <c r="C639" s="18" t="s">
        <v>13</v>
      </c>
      <c r="D639" s="18" t="s">
        <v>18</v>
      </c>
      <c r="E639" s="18"/>
      <c r="F639" s="18"/>
      <c r="G639" s="43">
        <f>G640</f>
        <v>30000</v>
      </c>
      <c r="H639" s="43">
        <f>H640</f>
        <v>30000</v>
      </c>
      <c r="I639" s="43">
        <f>I640</f>
        <v>30000</v>
      </c>
    </row>
    <row r="640" spans="1:9" s="66" customFormat="1" ht="33">
      <c r="A640" s="41" t="s">
        <v>1126</v>
      </c>
      <c r="B640" s="23">
        <v>911</v>
      </c>
      <c r="C640" s="18" t="s">
        <v>13</v>
      </c>
      <c r="D640" s="18" t="s">
        <v>18</v>
      </c>
      <c r="E640" s="61" t="s">
        <v>222</v>
      </c>
      <c r="F640" s="59"/>
      <c r="G640" s="43">
        <f aca="true" t="shared" si="86" ref="G640:I643">G641</f>
        <v>30000</v>
      </c>
      <c r="H640" s="43">
        <f t="shared" si="86"/>
        <v>30000</v>
      </c>
      <c r="I640" s="43">
        <f t="shared" si="86"/>
        <v>30000</v>
      </c>
    </row>
    <row r="641" spans="1:9" s="66" customFormat="1" ht="33">
      <c r="A641" s="41" t="s">
        <v>144</v>
      </c>
      <c r="B641" s="23">
        <v>911</v>
      </c>
      <c r="C641" s="18" t="s">
        <v>13</v>
      </c>
      <c r="D641" s="18" t="s">
        <v>18</v>
      </c>
      <c r="E641" s="18" t="s">
        <v>223</v>
      </c>
      <c r="F641" s="59"/>
      <c r="G641" s="43">
        <f t="shared" si="86"/>
        <v>30000</v>
      </c>
      <c r="H641" s="43">
        <f t="shared" si="86"/>
        <v>30000</v>
      </c>
      <c r="I641" s="43">
        <f t="shared" si="86"/>
        <v>30000</v>
      </c>
    </row>
    <row r="642" spans="1:9" s="66" customFormat="1" ht="16.5">
      <c r="A642" s="41" t="s">
        <v>406</v>
      </c>
      <c r="B642" s="23">
        <v>911</v>
      </c>
      <c r="C642" s="18" t="s">
        <v>13</v>
      </c>
      <c r="D642" s="18" t="s">
        <v>18</v>
      </c>
      <c r="E642" s="18" t="s">
        <v>225</v>
      </c>
      <c r="F642" s="59"/>
      <c r="G642" s="43">
        <f t="shared" si="86"/>
        <v>30000</v>
      </c>
      <c r="H642" s="43">
        <f t="shared" si="86"/>
        <v>30000</v>
      </c>
      <c r="I642" s="43">
        <f t="shared" si="86"/>
        <v>30000</v>
      </c>
    </row>
    <row r="643" spans="1:9" s="66" customFormat="1" ht="33">
      <c r="A643" s="41" t="s">
        <v>199</v>
      </c>
      <c r="B643" s="23">
        <v>911</v>
      </c>
      <c r="C643" s="18" t="s">
        <v>13</v>
      </c>
      <c r="D643" s="18" t="s">
        <v>18</v>
      </c>
      <c r="E643" s="18" t="s">
        <v>407</v>
      </c>
      <c r="F643" s="59"/>
      <c r="G643" s="43">
        <f t="shared" si="86"/>
        <v>30000</v>
      </c>
      <c r="H643" s="43">
        <f t="shared" si="86"/>
        <v>30000</v>
      </c>
      <c r="I643" s="43">
        <f t="shared" si="86"/>
        <v>30000</v>
      </c>
    </row>
    <row r="644" spans="1:9" s="66" customFormat="1" ht="16.5">
      <c r="A644" s="41" t="s">
        <v>39</v>
      </c>
      <c r="B644" s="23">
        <v>911</v>
      </c>
      <c r="C644" s="18" t="s">
        <v>13</v>
      </c>
      <c r="D644" s="18" t="s">
        <v>18</v>
      </c>
      <c r="E644" s="18" t="s">
        <v>407</v>
      </c>
      <c r="F644" s="59">
        <v>540</v>
      </c>
      <c r="G644" s="43">
        <v>30000</v>
      </c>
      <c r="H644" s="43">
        <v>30000</v>
      </c>
      <c r="I644" s="43">
        <v>30000</v>
      </c>
    </row>
    <row r="645" spans="1:9" s="66" customFormat="1" ht="16.5">
      <c r="A645" s="41" t="s">
        <v>28</v>
      </c>
      <c r="B645" s="23">
        <v>911</v>
      </c>
      <c r="C645" s="18" t="s">
        <v>8</v>
      </c>
      <c r="D645" s="18"/>
      <c r="E645" s="18"/>
      <c r="F645" s="18"/>
      <c r="G645" s="43">
        <f aca="true" t="shared" si="87" ref="G645:I647">G646</f>
        <v>77100</v>
      </c>
      <c r="H645" s="43">
        <f t="shared" si="87"/>
        <v>83500</v>
      </c>
      <c r="I645" s="43">
        <f t="shared" si="87"/>
        <v>78500</v>
      </c>
    </row>
    <row r="646" spans="1:9" s="66" customFormat="1" ht="33">
      <c r="A646" s="96" t="s">
        <v>118</v>
      </c>
      <c r="B646" s="23">
        <v>911</v>
      </c>
      <c r="C646" s="18" t="s">
        <v>8</v>
      </c>
      <c r="D646" s="18" t="s">
        <v>13</v>
      </c>
      <c r="E646" s="18"/>
      <c r="F646" s="18"/>
      <c r="G646" s="43">
        <f t="shared" si="87"/>
        <v>77100</v>
      </c>
      <c r="H646" s="43">
        <f t="shared" si="87"/>
        <v>83500</v>
      </c>
      <c r="I646" s="43">
        <f t="shared" si="87"/>
        <v>78500</v>
      </c>
    </row>
    <row r="647" spans="1:9" s="66" customFormat="1" ht="33">
      <c r="A647" s="40" t="s">
        <v>1127</v>
      </c>
      <c r="B647" s="23">
        <v>911</v>
      </c>
      <c r="C647" s="18" t="s">
        <v>8</v>
      </c>
      <c r="D647" s="18" t="s">
        <v>13</v>
      </c>
      <c r="E647" s="61" t="s">
        <v>235</v>
      </c>
      <c r="F647" s="59"/>
      <c r="G647" s="43">
        <f t="shared" si="87"/>
        <v>77100</v>
      </c>
      <c r="H647" s="43">
        <f t="shared" si="87"/>
        <v>83500</v>
      </c>
      <c r="I647" s="43">
        <f t="shared" si="87"/>
        <v>78500</v>
      </c>
    </row>
    <row r="648" spans="1:9" s="66" customFormat="1" ht="33">
      <c r="A648" s="74" t="s">
        <v>437</v>
      </c>
      <c r="B648" s="23">
        <v>911</v>
      </c>
      <c r="C648" s="18" t="s">
        <v>8</v>
      </c>
      <c r="D648" s="18" t="s">
        <v>13</v>
      </c>
      <c r="E648" s="61" t="s">
        <v>1231</v>
      </c>
      <c r="F648" s="65"/>
      <c r="G648" s="43">
        <f>G649+G653+G651</f>
        <v>77100</v>
      </c>
      <c r="H648" s="43">
        <f>H649+H653+H651</f>
        <v>83500</v>
      </c>
      <c r="I648" s="43">
        <f>I649+I653+I651</f>
        <v>78500</v>
      </c>
    </row>
    <row r="649" spans="1:9" s="66" customFormat="1" ht="33" hidden="1">
      <c r="A649" s="74" t="s">
        <v>456</v>
      </c>
      <c r="B649" s="23">
        <v>911</v>
      </c>
      <c r="C649" s="18" t="s">
        <v>8</v>
      </c>
      <c r="D649" s="18" t="s">
        <v>13</v>
      </c>
      <c r="E649" s="61" t="s">
        <v>1232</v>
      </c>
      <c r="F649" s="65"/>
      <c r="G649" s="43">
        <f>G650</f>
        <v>0</v>
      </c>
      <c r="H649" s="43">
        <f>H650</f>
        <v>0</v>
      </c>
      <c r="I649" s="43">
        <f>I650</f>
        <v>0</v>
      </c>
    </row>
    <row r="650" spans="1:9" s="66" customFormat="1" ht="33" hidden="1">
      <c r="A650" s="41" t="s">
        <v>130</v>
      </c>
      <c r="B650" s="23">
        <v>911</v>
      </c>
      <c r="C650" s="18" t="s">
        <v>8</v>
      </c>
      <c r="D650" s="18" t="s">
        <v>13</v>
      </c>
      <c r="E650" s="61" t="s">
        <v>1232</v>
      </c>
      <c r="F650" s="65">
        <v>240</v>
      </c>
      <c r="G650" s="43"/>
      <c r="H650" s="43"/>
      <c r="I650" s="43"/>
    </row>
    <row r="651" spans="1:9" s="66" customFormat="1" ht="33">
      <c r="A651" s="74" t="s">
        <v>1297</v>
      </c>
      <c r="B651" s="23">
        <v>911</v>
      </c>
      <c r="C651" s="18" t="s">
        <v>8</v>
      </c>
      <c r="D651" s="18" t="s">
        <v>13</v>
      </c>
      <c r="E651" s="61" t="s">
        <v>1298</v>
      </c>
      <c r="F651" s="65"/>
      <c r="G651" s="43">
        <f>G652</f>
        <v>71100</v>
      </c>
      <c r="H651" s="43">
        <f>H652</f>
        <v>77500</v>
      </c>
      <c r="I651" s="43">
        <f>I652</f>
        <v>77500</v>
      </c>
    </row>
    <row r="652" spans="1:9" s="66" customFormat="1" ht="16.5">
      <c r="A652" s="74" t="s">
        <v>1280</v>
      </c>
      <c r="B652" s="23">
        <v>911</v>
      </c>
      <c r="C652" s="18" t="s">
        <v>8</v>
      </c>
      <c r="D652" s="18" t="s">
        <v>13</v>
      </c>
      <c r="E652" s="61" t="s">
        <v>1298</v>
      </c>
      <c r="F652" s="65">
        <v>520</v>
      </c>
      <c r="G652" s="43">
        <v>71100</v>
      </c>
      <c r="H652" s="43">
        <v>77500</v>
      </c>
      <c r="I652" s="43">
        <v>77500</v>
      </c>
    </row>
    <row r="653" spans="1:9" s="66" customFormat="1" ht="49.5">
      <c r="A653" s="74" t="s">
        <v>449</v>
      </c>
      <c r="B653" s="23">
        <v>911</v>
      </c>
      <c r="C653" s="18" t="s">
        <v>8</v>
      </c>
      <c r="D653" s="18" t="s">
        <v>13</v>
      </c>
      <c r="E653" s="61" t="s">
        <v>1233</v>
      </c>
      <c r="F653" s="65"/>
      <c r="G653" s="43">
        <f>G654</f>
        <v>6000</v>
      </c>
      <c r="H653" s="43">
        <f>H654</f>
        <v>6000</v>
      </c>
      <c r="I653" s="43">
        <f>I654</f>
        <v>1000</v>
      </c>
    </row>
    <row r="654" spans="1:9" s="66" customFormat="1" ht="16.5">
      <c r="A654" s="74" t="s">
        <v>39</v>
      </c>
      <c r="B654" s="23">
        <v>911</v>
      </c>
      <c r="C654" s="18" t="s">
        <v>8</v>
      </c>
      <c r="D654" s="18" t="s">
        <v>13</v>
      </c>
      <c r="E654" s="61" t="s">
        <v>1233</v>
      </c>
      <c r="F654" s="65">
        <v>540</v>
      </c>
      <c r="G654" s="43">
        <v>6000</v>
      </c>
      <c r="H654" s="43">
        <v>6000</v>
      </c>
      <c r="I654" s="43">
        <f>6000-5000</f>
        <v>1000</v>
      </c>
    </row>
    <row r="655" spans="1:9" ht="16.5">
      <c r="A655" s="41" t="s">
        <v>115</v>
      </c>
      <c r="B655" s="23">
        <v>911</v>
      </c>
      <c r="C655" s="18" t="s">
        <v>11</v>
      </c>
      <c r="D655" s="18"/>
      <c r="E655" s="18"/>
      <c r="F655" s="18"/>
      <c r="G655" s="43">
        <f aca="true" t="shared" si="88" ref="G655:G660">G656</f>
        <v>383838</v>
      </c>
      <c r="H655" s="43">
        <f aca="true" t="shared" si="89" ref="H655:I660">H656</f>
        <v>0</v>
      </c>
      <c r="I655" s="43">
        <f t="shared" si="89"/>
        <v>0</v>
      </c>
    </row>
    <row r="656" spans="1:9" ht="16.5">
      <c r="A656" s="41" t="s">
        <v>3</v>
      </c>
      <c r="B656" s="23">
        <v>911</v>
      </c>
      <c r="C656" s="19" t="s">
        <v>11</v>
      </c>
      <c r="D656" s="19" t="s">
        <v>9</v>
      </c>
      <c r="E656" s="18"/>
      <c r="F656" s="18"/>
      <c r="G656" s="42">
        <f t="shared" si="88"/>
        <v>383838</v>
      </c>
      <c r="H656" s="42">
        <f t="shared" si="89"/>
        <v>0</v>
      </c>
      <c r="I656" s="42">
        <f t="shared" si="89"/>
        <v>0</v>
      </c>
    </row>
    <row r="657" spans="1:9" s="66" customFormat="1" ht="16.5">
      <c r="A657" s="41" t="s">
        <v>1125</v>
      </c>
      <c r="B657" s="23">
        <v>911</v>
      </c>
      <c r="C657" s="19" t="s">
        <v>11</v>
      </c>
      <c r="D657" s="19" t="s">
        <v>9</v>
      </c>
      <c r="E657" s="61" t="s">
        <v>221</v>
      </c>
      <c r="F657" s="65"/>
      <c r="G657" s="43">
        <f t="shared" si="88"/>
        <v>383838</v>
      </c>
      <c r="H657" s="43">
        <f t="shared" si="89"/>
        <v>0</v>
      </c>
      <c r="I657" s="43">
        <f t="shared" si="89"/>
        <v>0</v>
      </c>
    </row>
    <row r="658" spans="1:9" s="66" customFormat="1" ht="33">
      <c r="A658" s="40" t="s">
        <v>158</v>
      </c>
      <c r="B658" s="23">
        <v>911</v>
      </c>
      <c r="C658" s="19" t="s">
        <v>11</v>
      </c>
      <c r="D658" s="19" t="s">
        <v>9</v>
      </c>
      <c r="E658" s="18" t="s">
        <v>264</v>
      </c>
      <c r="F658" s="65"/>
      <c r="G658" s="43">
        <f t="shared" si="88"/>
        <v>383838</v>
      </c>
      <c r="H658" s="43">
        <f t="shared" si="89"/>
        <v>0</v>
      </c>
      <c r="I658" s="43">
        <f t="shared" si="89"/>
        <v>0</v>
      </c>
    </row>
    <row r="659" spans="1:9" s="66" customFormat="1" ht="16.5">
      <c r="A659" s="69" t="s">
        <v>346</v>
      </c>
      <c r="B659" s="23">
        <v>911</v>
      </c>
      <c r="C659" s="19" t="s">
        <v>11</v>
      </c>
      <c r="D659" s="19" t="s">
        <v>9</v>
      </c>
      <c r="E659" s="18" t="s">
        <v>347</v>
      </c>
      <c r="F659" s="65"/>
      <c r="G659" s="43">
        <f t="shared" si="88"/>
        <v>383838</v>
      </c>
      <c r="H659" s="43">
        <f t="shared" si="89"/>
        <v>0</v>
      </c>
      <c r="I659" s="43">
        <f t="shared" si="89"/>
        <v>0</v>
      </c>
    </row>
    <row r="660" spans="1:9" s="66" customFormat="1" ht="49.5">
      <c r="A660" s="74" t="s">
        <v>1281</v>
      </c>
      <c r="B660" s="23">
        <v>911</v>
      </c>
      <c r="C660" s="19" t="s">
        <v>11</v>
      </c>
      <c r="D660" s="19" t="s">
        <v>9</v>
      </c>
      <c r="E660" s="18" t="s">
        <v>1305</v>
      </c>
      <c r="F660" s="65"/>
      <c r="G660" s="43">
        <f t="shared" si="88"/>
        <v>383838</v>
      </c>
      <c r="H660" s="43">
        <f t="shared" si="89"/>
        <v>0</v>
      </c>
      <c r="I660" s="43">
        <f t="shared" si="89"/>
        <v>0</v>
      </c>
    </row>
    <row r="661" spans="1:9" s="66" customFormat="1" ht="16.5">
      <c r="A661" s="74" t="s">
        <v>1280</v>
      </c>
      <c r="B661" s="23">
        <v>911</v>
      </c>
      <c r="C661" s="19" t="s">
        <v>11</v>
      </c>
      <c r="D661" s="19" t="s">
        <v>9</v>
      </c>
      <c r="E661" s="18" t="s">
        <v>1305</v>
      </c>
      <c r="F661" s="65">
        <v>520</v>
      </c>
      <c r="G661" s="43">
        <v>383838</v>
      </c>
      <c r="H661" s="43">
        <v>0</v>
      </c>
      <c r="I661" s="43">
        <v>0</v>
      </c>
    </row>
    <row r="662" spans="1:9" s="66" customFormat="1" ht="16.5">
      <c r="A662" s="41" t="s">
        <v>33</v>
      </c>
      <c r="B662" s="23">
        <v>911</v>
      </c>
      <c r="C662" s="19" t="s">
        <v>16</v>
      </c>
      <c r="D662" s="18"/>
      <c r="E662" s="18"/>
      <c r="F662" s="18"/>
      <c r="G662" s="43">
        <f aca="true" t="shared" si="90" ref="G662:I667">G663</f>
        <v>386000</v>
      </c>
      <c r="H662" s="43">
        <f t="shared" si="90"/>
        <v>386000</v>
      </c>
      <c r="I662" s="43">
        <f t="shared" si="90"/>
        <v>386000</v>
      </c>
    </row>
    <row r="663" spans="1:9" s="66" customFormat="1" ht="16.5">
      <c r="A663" s="41" t="s">
        <v>63</v>
      </c>
      <c r="B663" s="23">
        <v>911</v>
      </c>
      <c r="C663" s="18" t="s">
        <v>16</v>
      </c>
      <c r="D663" s="18" t="s">
        <v>18</v>
      </c>
      <c r="E663" s="18"/>
      <c r="F663" s="18"/>
      <c r="G663" s="43">
        <f>G664</f>
        <v>386000</v>
      </c>
      <c r="H663" s="43">
        <f t="shared" si="90"/>
        <v>386000</v>
      </c>
      <c r="I663" s="43">
        <f t="shared" si="90"/>
        <v>386000</v>
      </c>
    </row>
    <row r="664" spans="1:9" s="66" customFormat="1" ht="16.5">
      <c r="A664" s="41" t="s">
        <v>1129</v>
      </c>
      <c r="B664" s="23">
        <v>911</v>
      </c>
      <c r="C664" s="18" t="s">
        <v>16</v>
      </c>
      <c r="D664" s="18" t="s">
        <v>18</v>
      </c>
      <c r="E664" s="61" t="s">
        <v>255</v>
      </c>
      <c r="F664" s="59"/>
      <c r="G664" s="43">
        <f>G665</f>
        <v>386000</v>
      </c>
      <c r="H664" s="43">
        <f>H665</f>
        <v>386000</v>
      </c>
      <c r="I664" s="43">
        <f>I665</f>
        <v>386000</v>
      </c>
    </row>
    <row r="665" spans="1:9" ht="33">
      <c r="A665" s="40" t="s">
        <v>507</v>
      </c>
      <c r="B665" s="23">
        <v>911</v>
      </c>
      <c r="C665" s="18" t="s">
        <v>16</v>
      </c>
      <c r="D665" s="18" t="s">
        <v>18</v>
      </c>
      <c r="E665" s="18" t="s">
        <v>276</v>
      </c>
      <c r="F665" s="59"/>
      <c r="G665" s="43">
        <f t="shared" si="90"/>
        <v>386000</v>
      </c>
      <c r="H665" s="43">
        <f t="shared" si="90"/>
        <v>386000</v>
      </c>
      <c r="I665" s="43">
        <f t="shared" si="90"/>
        <v>386000</v>
      </c>
    </row>
    <row r="666" spans="1:9" ht="33">
      <c r="A666" s="40" t="s">
        <v>388</v>
      </c>
      <c r="B666" s="23">
        <v>911</v>
      </c>
      <c r="C666" s="18" t="s">
        <v>16</v>
      </c>
      <c r="D666" s="18" t="s">
        <v>18</v>
      </c>
      <c r="E666" s="18" t="s">
        <v>433</v>
      </c>
      <c r="F666" s="59"/>
      <c r="G666" s="43">
        <f t="shared" si="90"/>
        <v>386000</v>
      </c>
      <c r="H666" s="43">
        <f t="shared" si="90"/>
        <v>386000</v>
      </c>
      <c r="I666" s="43">
        <f t="shared" si="90"/>
        <v>386000</v>
      </c>
    </row>
    <row r="667" spans="1:9" s="66" customFormat="1" ht="66">
      <c r="A667" s="40" t="s">
        <v>519</v>
      </c>
      <c r="B667" s="23">
        <v>911</v>
      </c>
      <c r="C667" s="18" t="s">
        <v>16</v>
      </c>
      <c r="D667" s="18" t="s">
        <v>18</v>
      </c>
      <c r="E667" s="18" t="s">
        <v>1208</v>
      </c>
      <c r="F667" s="59"/>
      <c r="G667" s="43">
        <f t="shared" si="90"/>
        <v>386000</v>
      </c>
      <c r="H667" s="43">
        <f t="shared" si="90"/>
        <v>386000</v>
      </c>
      <c r="I667" s="43">
        <f t="shared" si="90"/>
        <v>386000</v>
      </c>
    </row>
    <row r="668" spans="1:9" s="66" customFormat="1" ht="16.5">
      <c r="A668" s="78" t="s">
        <v>165</v>
      </c>
      <c r="B668" s="23">
        <v>911</v>
      </c>
      <c r="C668" s="18" t="s">
        <v>16</v>
      </c>
      <c r="D668" s="18" t="s">
        <v>18</v>
      </c>
      <c r="E668" s="18" t="s">
        <v>1208</v>
      </c>
      <c r="F668" s="59">
        <v>530</v>
      </c>
      <c r="G668" s="43">
        <v>386000</v>
      </c>
      <c r="H668" s="43">
        <v>386000</v>
      </c>
      <c r="I668" s="43">
        <v>386000</v>
      </c>
    </row>
    <row r="669" spans="1:9" s="66" customFormat="1" ht="16.5">
      <c r="A669" s="46" t="s">
        <v>80</v>
      </c>
      <c r="B669" s="23">
        <v>911</v>
      </c>
      <c r="C669" s="18" t="s">
        <v>19</v>
      </c>
      <c r="D669" s="18"/>
      <c r="E669" s="18"/>
      <c r="F669" s="18"/>
      <c r="G669" s="43">
        <f aca="true" t="shared" si="91" ref="G669:I670">G670</f>
        <v>20000</v>
      </c>
      <c r="H669" s="43">
        <f t="shared" si="91"/>
        <v>20000</v>
      </c>
      <c r="I669" s="43">
        <f t="shared" si="91"/>
        <v>20000</v>
      </c>
    </row>
    <row r="670" spans="1:9" s="66" customFormat="1" ht="16.5">
      <c r="A670" s="40" t="s">
        <v>81</v>
      </c>
      <c r="B670" s="23">
        <v>911</v>
      </c>
      <c r="C670" s="18" t="s">
        <v>19</v>
      </c>
      <c r="D670" s="18" t="s">
        <v>9</v>
      </c>
      <c r="E670" s="19"/>
      <c r="F670" s="19"/>
      <c r="G670" s="42">
        <f t="shared" si="91"/>
        <v>20000</v>
      </c>
      <c r="H670" s="42">
        <f t="shared" si="91"/>
        <v>20000</v>
      </c>
      <c r="I670" s="42">
        <f t="shared" si="91"/>
        <v>20000</v>
      </c>
    </row>
    <row r="671" spans="1:9" ht="33">
      <c r="A671" s="40" t="s">
        <v>1127</v>
      </c>
      <c r="B671" s="23">
        <v>911</v>
      </c>
      <c r="C671" s="18" t="s">
        <v>19</v>
      </c>
      <c r="D671" s="18" t="s">
        <v>9</v>
      </c>
      <c r="E671" s="61" t="s">
        <v>235</v>
      </c>
      <c r="F671" s="59"/>
      <c r="G671" s="43">
        <f aca="true" t="shared" si="92" ref="G671:I673">G672</f>
        <v>20000</v>
      </c>
      <c r="H671" s="43">
        <f t="shared" si="92"/>
        <v>20000</v>
      </c>
      <c r="I671" s="43">
        <f t="shared" si="92"/>
        <v>20000</v>
      </c>
    </row>
    <row r="672" spans="1:9" ht="16.5">
      <c r="A672" s="77" t="s">
        <v>328</v>
      </c>
      <c r="B672" s="23">
        <v>911</v>
      </c>
      <c r="C672" s="18" t="s">
        <v>19</v>
      </c>
      <c r="D672" s="18" t="s">
        <v>9</v>
      </c>
      <c r="E672" s="61" t="s">
        <v>484</v>
      </c>
      <c r="F672" s="65"/>
      <c r="G672" s="42">
        <f t="shared" si="92"/>
        <v>20000</v>
      </c>
      <c r="H672" s="42">
        <f t="shared" si="92"/>
        <v>20000</v>
      </c>
      <c r="I672" s="42">
        <f t="shared" si="92"/>
        <v>20000</v>
      </c>
    </row>
    <row r="673" spans="1:9" s="66" customFormat="1" ht="33">
      <c r="A673" s="77" t="s">
        <v>170</v>
      </c>
      <c r="B673" s="23">
        <v>911</v>
      </c>
      <c r="C673" s="18" t="s">
        <v>19</v>
      </c>
      <c r="D673" s="18" t="s">
        <v>9</v>
      </c>
      <c r="E673" s="61" t="s">
        <v>1230</v>
      </c>
      <c r="F673" s="65"/>
      <c r="G673" s="42">
        <f t="shared" si="92"/>
        <v>20000</v>
      </c>
      <c r="H673" s="42">
        <f t="shared" si="92"/>
        <v>20000</v>
      </c>
      <c r="I673" s="42">
        <f t="shared" si="92"/>
        <v>20000</v>
      </c>
    </row>
    <row r="674" spans="1:9" s="66" customFormat="1" ht="16.5">
      <c r="A674" s="95" t="s">
        <v>171</v>
      </c>
      <c r="B674" s="23">
        <v>911</v>
      </c>
      <c r="C674" s="18" t="s">
        <v>19</v>
      </c>
      <c r="D674" s="18" t="s">
        <v>9</v>
      </c>
      <c r="E674" s="61" t="s">
        <v>1230</v>
      </c>
      <c r="F674" s="65">
        <v>730</v>
      </c>
      <c r="G674" s="42">
        <v>20000</v>
      </c>
      <c r="H674" s="42">
        <v>20000</v>
      </c>
      <c r="I674" s="42">
        <v>20000</v>
      </c>
    </row>
    <row r="675" spans="1:9" s="66" customFormat="1" ht="33">
      <c r="A675" s="41" t="s">
        <v>114</v>
      </c>
      <c r="B675" s="23">
        <v>911</v>
      </c>
      <c r="C675" s="18" t="s">
        <v>58</v>
      </c>
      <c r="D675" s="18"/>
      <c r="E675" s="18"/>
      <c r="F675" s="18"/>
      <c r="G675" s="43">
        <f>G676+G681</f>
        <v>101068000</v>
      </c>
      <c r="H675" s="43">
        <f>H676+H681</f>
        <v>75998000</v>
      </c>
      <c r="I675" s="43">
        <f>I676+I681</f>
        <v>75998000</v>
      </c>
    </row>
    <row r="676" spans="1:9" s="66" customFormat="1" ht="33">
      <c r="A676" s="41" t="s">
        <v>112</v>
      </c>
      <c r="B676" s="23">
        <v>911</v>
      </c>
      <c r="C676" s="18" t="s">
        <v>58</v>
      </c>
      <c r="D676" s="18" t="s">
        <v>9</v>
      </c>
      <c r="E676" s="18"/>
      <c r="F676" s="18"/>
      <c r="G676" s="42">
        <f>G677</f>
        <v>100586000</v>
      </c>
      <c r="H676" s="42">
        <f>H677</f>
        <v>75998000</v>
      </c>
      <c r="I676" s="42">
        <f>I677</f>
        <v>75998000</v>
      </c>
    </row>
    <row r="677" spans="1:10" ht="33">
      <c r="A677" s="40" t="s">
        <v>1127</v>
      </c>
      <c r="B677" s="23">
        <v>911</v>
      </c>
      <c r="C677" s="18" t="s">
        <v>58</v>
      </c>
      <c r="D677" s="18" t="s">
        <v>9</v>
      </c>
      <c r="E677" s="61" t="s">
        <v>235</v>
      </c>
      <c r="F677" s="59"/>
      <c r="G677" s="43">
        <f aca="true" t="shared" si="93" ref="G677:I679">G678</f>
        <v>100586000</v>
      </c>
      <c r="H677" s="43">
        <f t="shared" si="93"/>
        <v>75998000</v>
      </c>
      <c r="I677" s="43">
        <f t="shared" si="93"/>
        <v>75998000</v>
      </c>
      <c r="J677" s="105"/>
    </row>
    <row r="678" spans="1:9" s="66" customFormat="1" ht="49.5">
      <c r="A678" s="77" t="s">
        <v>322</v>
      </c>
      <c r="B678" s="23">
        <v>911</v>
      </c>
      <c r="C678" s="18" t="s">
        <v>58</v>
      </c>
      <c r="D678" s="18" t="s">
        <v>9</v>
      </c>
      <c r="E678" s="61" t="s">
        <v>339</v>
      </c>
      <c r="F678" s="65"/>
      <c r="G678" s="42">
        <f t="shared" si="93"/>
        <v>100586000</v>
      </c>
      <c r="H678" s="42">
        <f t="shared" si="93"/>
        <v>75998000</v>
      </c>
      <c r="I678" s="42">
        <f t="shared" si="93"/>
        <v>75998000</v>
      </c>
    </row>
    <row r="679" spans="1:10" s="66" customFormat="1" ht="16.5">
      <c r="A679" s="77" t="s">
        <v>172</v>
      </c>
      <c r="B679" s="23">
        <v>911</v>
      </c>
      <c r="C679" s="18" t="s">
        <v>58</v>
      </c>
      <c r="D679" s="18" t="s">
        <v>9</v>
      </c>
      <c r="E679" s="61" t="s">
        <v>1223</v>
      </c>
      <c r="F679" s="65"/>
      <c r="G679" s="42">
        <f t="shared" si="93"/>
        <v>100586000</v>
      </c>
      <c r="H679" s="42">
        <f t="shared" si="93"/>
        <v>75998000</v>
      </c>
      <c r="I679" s="42">
        <f t="shared" si="93"/>
        <v>75998000</v>
      </c>
      <c r="J679" s="106"/>
    </row>
    <row r="680" spans="1:10" s="66" customFormat="1" ht="16.5">
      <c r="A680" s="74" t="s">
        <v>323</v>
      </c>
      <c r="B680" s="23">
        <v>911</v>
      </c>
      <c r="C680" s="18" t="s">
        <v>58</v>
      </c>
      <c r="D680" s="18" t="s">
        <v>9</v>
      </c>
      <c r="E680" s="61" t="s">
        <v>1223</v>
      </c>
      <c r="F680" s="65">
        <v>510</v>
      </c>
      <c r="G680" s="42">
        <f>75998000+24588000</f>
        <v>100586000</v>
      </c>
      <c r="H680" s="42">
        <v>75998000</v>
      </c>
      <c r="I680" s="42">
        <v>75998000</v>
      </c>
      <c r="J680" s="106"/>
    </row>
    <row r="681" spans="1:10" s="66" customFormat="1" ht="16.5">
      <c r="A681" s="47" t="s">
        <v>113</v>
      </c>
      <c r="B681" s="23">
        <v>911</v>
      </c>
      <c r="C681" s="18" t="s">
        <v>58</v>
      </c>
      <c r="D681" s="18" t="s">
        <v>18</v>
      </c>
      <c r="E681" s="18"/>
      <c r="F681" s="18"/>
      <c r="G681" s="42">
        <f aca="true" t="shared" si="94" ref="G681:I682">G682</f>
        <v>482000</v>
      </c>
      <c r="H681" s="42">
        <f t="shared" si="94"/>
        <v>0</v>
      </c>
      <c r="I681" s="42">
        <f t="shared" si="94"/>
        <v>0</v>
      </c>
      <c r="J681" s="106"/>
    </row>
    <row r="682" spans="1:10" s="66" customFormat="1" ht="33">
      <c r="A682" s="40" t="s">
        <v>1127</v>
      </c>
      <c r="B682" s="23">
        <v>911</v>
      </c>
      <c r="C682" s="18" t="s">
        <v>58</v>
      </c>
      <c r="D682" s="18" t="s">
        <v>18</v>
      </c>
      <c r="E682" s="61" t="s">
        <v>235</v>
      </c>
      <c r="F682" s="59"/>
      <c r="G682" s="43">
        <f t="shared" si="94"/>
        <v>482000</v>
      </c>
      <c r="H682" s="43">
        <f t="shared" si="94"/>
        <v>0</v>
      </c>
      <c r="I682" s="43">
        <f t="shared" si="94"/>
        <v>0</v>
      </c>
      <c r="J682" s="106"/>
    </row>
    <row r="683" spans="1:10" s="66" customFormat="1" ht="49.5">
      <c r="A683" s="77" t="s">
        <v>322</v>
      </c>
      <c r="B683" s="23">
        <v>911</v>
      </c>
      <c r="C683" s="18" t="s">
        <v>58</v>
      </c>
      <c r="D683" s="18" t="s">
        <v>18</v>
      </c>
      <c r="E683" s="61" t="s">
        <v>339</v>
      </c>
      <c r="F683" s="65"/>
      <c r="G683" s="42">
        <f aca="true" t="shared" si="95" ref="G683:I684">G684</f>
        <v>482000</v>
      </c>
      <c r="H683" s="42">
        <f t="shared" si="95"/>
        <v>0</v>
      </c>
      <c r="I683" s="42">
        <f t="shared" si="95"/>
        <v>0</v>
      </c>
      <c r="J683" s="106"/>
    </row>
    <row r="684" spans="1:12" s="66" customFormat="1" ht="33">
      <c r="A684" s="77" t="s">
        <v>173</v>
      </c>
      <c r="B684" s="23">
        <v>911</v>
      </c>
      <c r="C684" s="18" t="s">
        <v>58</v>
      </c>
      <c r="D684" s="18" t="s">
        <v>18</v>
      </c>
      <c r="E684" s="61" t="s">
        <v>1224</v>
      </c>
      <c r="F684" s="59"/>
      <c r="G684" s="42">
        <f t="shared" si="95"/>
        <v>482000</v>
      </c>
      <c r="H684" s="42">
        <f t="shared" si="95"/>
        <v>0</v>
      </c>
      <c r="I684" s="42">
        <f t="shared" si="95"/>
        <v>0</v>
      </c>
      <c r="J684" s="106"/>
      <c r="K684" s="106"/>
      <c r="L684" s="106"/>
    </row>
    <row r="685" spans="1:9" ht="16.5">
      <c r="A685" s="74" t="s">
        <v>39</v>
      </c>
      <c r="B685" s="23">
        <v>911</v>
      </c>
      <c r="C685" s="18" t="s">
        <v>58</v>
      </c>
      <c r="D685" s="18" t="s">
        <v>18</v>
      </c>
      <c r="E685" s="61" t="s">
        <v>1224</v>
      </c>
      <c r="F685" s="65">
        <v>540</v>
      </c>
      <c r="G685" s="42">
        <f>300000+182000</f>
        <v>482000</v>
      </c>
      <c r="H685" s="42">
        <v>0</v>
      </c>
      <c r="I685" s="42">
        <v>0</v>
      </c>
    </row>
    <row r="686" spans="1:9" s="66" customFormat="1" ht="33">
      <c r="A686" s="121" t="s">
        <v>102</v>
      </c>
      <c r="B686" s="122">
        <v>917</v>
      </c>
      <c r="C686" s="123"/>
      <c r="D686" s="123"/>
      <c r="E686" s="123"/>
      <c r="F686" s="123"/>
      <c r="G686" s="124">
        <f>G687+G709+G718+G724</f>
        <v>25238555</v>
      </c>
      <c r="H686" s="124">
        <f>H687+H709+H718+H724</f>
        <v>22599500</v>
      </c>
      <c r="I686" s="124">
        <f>I687+I709+I718+I724</f>
        <v>21471500</v>
      </c>
    </row>
    <row r="687" spans="1:9" s="66" customFormat="1" ht="16.5">
      <c r="A687" s="41" t="s">
        <v>45</v>
      </c>
      <c r="B687" s="23">
        <v>917</v>
      </c>
      <c r="C687" s="18" t="s">
        <v>9</v>
      </c>
      <c r="D687" s="18"/>
      <c r="E687" s="18"/>
      <c r="F687" s="18"/>
      <c r="G687" s="43">
        <f aca="true" t="shared" si="96" ref="G687:I688">G688</f>
        <v>12156555</v>
      </c>
      <c r="H687" s="43">
        <f t="shared" si="96"/>
        <v>11816500</v>
      </c>
      <c r="I687" s="43">
        <f t="shared" si="96"/>
        <v>11816500</v>
      </c>
    </row>
    <row r="688" spans="1:9" s="66" customFormat="1" ht="16.5">
      <c r="A688" s="41" t="s">
        <v>46</v>
      </c>
      <c r="B688" s="23">
        <v>917</v>
      </c>
      <c r="C688" s="19" t="s">
        <v>9</v>
      </c>
      <c r="D688" s="19" t="s">
        <v>19</v>
      </c>
      <c r="E688" s="18"/>
      <c r="F688" s="18"/>
      <c r="G688" s="42">
        <f t="shared" si="96"/>
        <v>12156555</v>
      </c>
      <c r="H688" s="42">
        <f t="shared" si="96"/>
        <v>11816500</v>
      </c>
      <c r="I688" s="42">
        <f t="shared" si="96"/>
        <v>11816500</v>
      </c>
    </row>
    <row r="689" spans="1:9" s="66" customFormat="1" ht="33">
      <c r="A689" s="74" t="s">
        <v>1138</v>
      </c>
      <c r="B689" s="23">
        <v>917</v>
      </c>
      <c r="C689" s="19" t="s">
        <v>9</v>
      </c>
      <c r="D689" s="19" t="s">
        <v>19</v>
      </c>
      <c r="E689" s="61">
        <v>3700000000</v>
      </c>
      <c r="F689" s="59"/>
      <c r="G689" s="43">
        <f>G690+G696+G699+G702+G705</f>
        <v>12156555</v>
      </c>
      <c r="H689" s="43">
        <f>H690+H696+H699+H702</f>
        <v>11816500</v>
      </c>
      <c r="I689" s="43">
        <f>I690+I696+I699+I702</f>
        <v>11816500</v>
      </c>
    </row>
    <row r="690" spans="1:9" ht="18.75">
      <c r="A690" s="109" t="s">
        <v>438</v>
      </c>
      <c r="B690" s="23">
        <v>917</v>
      </c>
      <c r="C690" s="19" t="s">
        <v>9</v>
      </c>
      <c r="D690" s="19" t="s">
        <v>19</v>
      </c>
      <c r="E690" s="61" t="s">
        <v>396</v>
      </c>
      <c r="F690" s="59"/>
      <c r="G690" s="43">
        <f>G691</f>
        <v>11331052</v>
      </c>
      <c r="H690" s="43">
        <f>H691</f>
        <v>11245400</v>
      </c>
      <c r="I690" s="43">
        <f>I691</f>
        <v>11245400</v>
      </c>
    </row>
    <row r="691" spans="1:9" s="66" customFormat="1" ht="16.5">
      <c r="A691" s="77" t="s">
        <v>129</v>
      </c>
      <c r="B691" s="23">
        <v>917</v>
      </c>
      <c r="C691" s="19" t="s">
        <v>9</v>
      </c>
      <c r="D691" s="19" t="s">
        <v>19</v>
      </c>
      <c r="E691" s="61" t="s">
        <v>1213</v>
      </c>
      <c r="F691" s="65"/>
      <c r="G691" s="42">
        <f>G692+G693+G695+G694</f>
        <v>11331052</v>
      </c>
      <c r="H691" s="42">
        <f>H692+H693+H695+H694</f>
        <v>11245400</v>
      </c>
      <c r="I691" s="42">
        <f>I692+I693+I695+I694</f>
        <v>11245400</v>
      </c>
    </row>
    <row r="692" spans="1:9" s="66" customFormat="1" ht="33">
      <c r="A692" s="41" t="s">
        <v>127</v>
      </c>
      <c r="B692" s="23">
        <v>917</v>
      </c>
      <c r="C692" s="19" t="s">
        <v>9</v>
      </c>
      <c r="D692" s="19" t="s">
        <v>19</v>
      </c>
      <c r="E692" s="61" t="s">
        <v>1213</v>
      </c>
      <c r="F692" s="59">
        <v>120</v>
      </c>
      <c r="G692" s="42">
        <v>9139300</v>
      </c>
      <c r="H692" s="42">
        <v>9139300</v>
      </c>
      <c r="I692" s="42">
        <v>9139300</v>
      </c>
    </row>
    <row r="693" spans="1:9" s="66" customFormat="1" ht="33">
      <c r="A693" s="41" t="s">
        <v>130</v>
      </c>
      <c r="B693" s="23">
        <v>917</v>
      </c>
      <c r="C693" s="19" t="s">
        <v>9</v>
      </c>
      <c r="D693" s="19" t="s">
        <v>19</v>
      </c>
      <c r="E693" s="61" t="s">
        <v>1213</v>
      </c>
      <c r="F693" s="59">
        <v>240</v>
      </c>
      <c r="G693" s="42">
        <f>2093100+42305+43347</f>
        <v>2178752</v>
      </c>
      <c r="H693" s="42">
        <v>2093100</v>
      </c>
      <c r="I693" s="42">
        <v>2093100</v>
      </c>
    </row>
    <row r="694" spans="1:9" s="66" customFormat="1" ht="16.5" hidden="1">
      <c r="A694" s="95" t="s">
        <v>194</v>
      </c>
      <c r="B694" s="23">
        <v>917</v>
      </c>
      <c r="C694" s="19" t="s">
        <v>9</v>
      </c>
      <c r="D694" s="19" t="s">
        <v>19</v>
      </c>
      <c r="E694" s="61">
        <v>3700103500</v>
      </c>
      <c r="F694" s="18" t="s">
        <v>193</v>
      </c>
      <c r="G694" s="42"/>
      <c r="H694" s="42"/>
      <c r="I694" s="42"/>
    </row>
    <row r="695" spans="1:9" s="66" customFormat="1" ht="16.5">
      <c r="A695" s="41" t="s">
        <v>132</v>
      </c>
      <c r="B695" s="23">
        <v>917</v>
      </c>
      <c r="C695" s="19" t="s">
        <v>9</v>
      </c>
      <c r="D695" s="19" t="s">
        <v>19</v>
      </c>
      <c r="E695" s="61" t="s">
        <v>1213</v>
      </c>
      <c r="F695" s="59">
        <v>850</v>
      </c>
      <c r="G695" s="42">
        <v>13000</v>
      </c>
      <c r="H695" s="42">
        <v>13000</v>
      </c>
      <c r="I695" s="42">
        <v>13000</v>
      </c>
    </row>
    <row r="696" spans="1:9" s="66" customFormat="1" ht="33">
      <c r="A696" s="41" t="s">
        <v>440</v>
      </c>
      <c r="B696" s="23">
        <v>917</v>
      </c>
      <c r="C696" s="19" t="s">
        <v>9</v>
      </c>
      <c r="D696" s="19" t="s">
        <v>19</v>
      </c>
      <c r="E696" s="61" t="s">
        <v>1214</v>
      </c>
      <c r="F696" s="59"/>
      <c r="G696" s="42">
        <f aca="true" t="shared" si="97" ref="G696:I697">G697</f>
        <v>497500</v>
      </c>
      <c r="H696" s="42">
        <f t="shared" si="97"/>
        <v>476600</v>
      </c>
      <c r="I696" s="42">
        <f t="shared" si="97"/>
        <v>476600</v>
      </c>
    </row>
    <row r="697" spans="1:9" s="66" customFormat="1" ht="33">
      <c r="A697" s="41" t="s">
        <v>57</v>
      </c>
      <c r="B697" s="23">
        <v>917</v>
      </c>
      <c r="C697" s="19" t="s">
        <v>9</v>
      </c>
      <c r="D697" s="19" t="s">
        <v>19</v>
      </c>
      <c r="E697" s="61" t="s">
        <v>1215</v>
      </c>
      <c r="F697" s="59"/>
      <c r="G697" s="43">
        <f t="shared" si="97"/>
        <v>497500</v>
      </c>
      <c r="H697" s="43">
        <f t="shared" si="97"/>
        <v>476600</v>
      </c>
      <c r="I697" s="43">
        <f t="shared" si="97"/>
        <v>476600</v>
      </c>
    </row>
    <row r="698" spans="1:9" ht="33">
      <c r="A698" s="41" t="s">
        <v>130</v>
      </c>
      <c r="B698" s="23">
        <v>917</v>
      </c>
      <c r="C698" s="19" t="s">
        <v>9</v>
      </c>
      <c r="D698" s="19" t="s">
        <v>19</v>
      </c>
      <c r="E698" s="61" t="s">
        <v>1215</v>
      </c>
      <c r="F698" s="59">
        <v>240</v>
      </c>
      <c r="G698" s="43">
        <f>820500-323000</f>
        <v>497500</v>
      </c>
      <c r="H698" s="43">
        <v>476600</v>
      </c>
      <c r="I698" s="43">
        <v>476600</v>
      </c>
    </row>
    <row r="699" spans="1:9" ht="33" hidden="1">
      <c r="A699" s="73" t="s">
        <v>441</v>
      </c>
      <c r="B699" s="64">
        <v>917</v>
      </c>
      <c r="C699" s="19" t="s">
        <v>9</v>
      </c>
      <c r="D699" s="19" t="s">
        <v>19</v>
      </c>
      <c r="E699" s="61" t="s">
        <v>1216</v>
      </c>
      <c r="F699" s="59"/>
      <c r="G699" s="42">
        <f aca="true" t="shared" si="98" ref="G699:I700">G700</f>
        <v>0</v>
      </c>
      <c r="H699" s="42">
        <f t="shared" si="98"/>
        <v>0</v>
      </c>
      <c r="I699" s="42">
        <f t="shared" si="98"/>
        <v>0</v>
      </c>
    </row>
    <row r="700" spans="1:9" ht="16.5" hidden="1">
      <c r="A700" s="73" t="s">
        <v>442</v>
      </c>
      <c r="B700" s="64">
        <v>917</v>
      </c>
      <c r="C700" s="19" t="s">
        <v>9</v>
      </c>
      <c r="D700" s="19" t="s">
        <v>19</v>
      </c>
      <c r="E700" s="61">
        <v>3700322140</v>
      </c>
      <c r="F700" s="59"/>
      <c r="G700" s="42">
        <f t="shared" si="98"/>
        <v>0</v>
      </c>
      <c r="H700" s="42">
        <f t="shared" si="98"/>
        <v>0</v>
      </c>
      <c r="I700" s="42">
        <f t="shared" si="98"/>
        <v>0</v>
      </c>
    </row>
    <row r="701" spans="1:9" ht="33" hidden="1">
      <c r="A701" s="41" t="s">
        <v>130</v>
      </c>
      <c r="B701" s="64">
        <v>917</v>
      </c>
      <c r="C701" s="19" t="s">
        <v>9</v>
      </c>
      <c r="D701" s="19" t="s">
        <v>19</v>
      </c>
      <c r="E701" s="61">
        <v>3700322140</v>
      </c>
      <c r="F701" s="59">
        <v>240</v>
      </c>
      <c r="G701" s="42">
        <v>0</v>
      </c>
      <c r="H701" s="42">
        <v>0</v>
      </c>
      <c r="I701" s="42">
        <v>0</v>
      </c>
    </row>
    <row r="702" spans="1:9" ht="33">
      <c r="A702" s="41" t="s">
        <v>978</v>
      </c>
      <c r="B702" s="64">
        <v>917</v>
      </c>
      <c r="C702" s="19" t="s">
        <v>9</v>
      </c>
      <c r="D702" s="19" t="s">
        <v>19</v>
      </c>
      <c r="E702" s="61" t="s">
        <v>1219</v>
      </c>
      <c r="F702" s="59"/>
      <c r="G702" s="42">
        <f aca="true" t="shared" si="99" ref="G702:I703">G703</f>
        <v>323000</v>
      </c>
      <c r="H702" s="42">
        <f t="shared" si="99"/>
        <v>94500</v>
      </c>
      <c r="I702" s="42">
        <f t="shared" si="99"/>
        <v>94500</v>
      </c>
    </row>
    <row r="703" spans="1:9" ht="33">
      <c r="A703" s="41" t="s">
        <v>979</v>
      </c>
      <c r="B703" s="64">
        <v>917</v>
      </c>
      <c r="C703" s="19" t="s">
        <v>9</v>
      </c>
      <c r="D703" s="19" t="s">
        <v>19</v>
      </c>
      <c r="E703" s="61" t="s">
        <v>1220</v>
      </c>
      <c r="F703" s="59"/>
      <c r="G703" s="42">
        <f t="shared" si="99"/>
        <v>323000</v>
      </c>
      <c r="H703" s="42">
        <f t="shared" si="99"/>
        <v>94500</v>
      </c>
      <c r="I703" s="42">
        <f t="shared" si="99"/>
        <v>94500</v>
      </c>
    </row>
    <row r="704" spans="1:9" ht="33">
      <c r="A704" s="41" t="s">
        <v>130</v>
      </c>
      <c r="B704" s="64">
        <v>917</v>
      </c>
      <c r="C704" s="19" t="s">
        <v>9</v>
      </c>
      <c r="D704" s="19" t="s">
        <v>19</v>
      </c>
      <c r="E704" s="61" t="s">
        <v>1220</v>
      </c>
      <c r="F704" s="59">
        <v>240</v>
      </c>
      <c r="G704" s="42">
        <v>323000</v>
      </c>
      <c r="H704" s="42">
        <v>94500</v>
      </c>
      <c r="I704" s="42">
        <v>94500</v>
      </c>
    </row>
    <row r="705" spans="1:9" ht="49.5">
      <c r="A705" s="41" t="s">
        <v>201</v>
      </c>
      <c r="B705" s="64">
        <v>917</v>
      </c>
      <c r="C705" s="19" t="s">
        <v>9</v>
      </c>
      <c r="D705" s="19" t="s">
        <v>19</v>
      </c>
      <c r="E705" s="61" t="s">
        <v>210</v>
      </c>
      <c r="F705" s="18"/>
      <c r="G705" s="42">
        <f>G706</f>
        <v>5003</v>
      </c>
      <c r="H705" s="42">
        <f>H706</f>
        <v>6109500</v>
      </c>
      <c r="I705" s="42">
        <f>I706</f>
        <v>6109500</v>
      </c>
    </row>
    <row r="706" spans="1:9" ht="16.5">
      <c r="A706" s="41" t="s">
        <v>46</v>
      </c>
      <c r="B706" s="64">
        <v>917</v>
      </c>
      <c r="C706" s="18" t="s">
        <v>9</v>
      </c>
      <c r="D706" s="18" t="s">
        <v>19</v>
      </c>
      <c r="E706" s="18" t="s">
        <v>226</v>
      </c>
      <c r="F706" s="59"/>
      <c r="G706" s="42">
        <f>G707</f>
        <v>5003</v>
      </c>
      <c r="H706" s="42">
        <f>H707+H711</f>
        <v>6109500</v>
      </c>
      <c r="I706" s="42">
        <f>I707+I711</f>
        <v>6109500</v>
      </c>
    </row>
    <row r="707" spans="1:9" ht="16.5">
      <c r="A707" s="95" t="s">
        <v>180</v>
      </c>
      <c r="B707" s="64">
        <v>917</v>
      </c>
      <c r="C707" s="18" t="s">
        <v>9</v>
      </c>
      <c r="D707" s="18" t="s">
        <v>19</v>
      </c>
      <c r="E707" s="18" t="s">
        <v>227</v>
      </c>
      <c r="F707" s="18"/>
      <c r="G707" s="42">
        <f>G708</f>
        <v>5003</v>
      </c>
      <c r="H707" s="42">
        <f>H708+H709+H710</f>
        <v>4093500</v>
      </c>
      <c r="I707" s="42">
        <f>I708+I709+I710</f>
        <v>4093500</v>
      </c>
    </row>
    <row r="708" spans="1:9" ht="33">
      <c r="A708" s="41" t="s">
        <v>130</v>
      </c>
      <c r="B708" s="64">
        <v>917</v>
      </c>
      <c r="C708" s="18" t="s">
        <v>9</v>
      </c>
      <c r="D708" s="18" t="s">
        <v>19</v>
      </c>
      <c r="E708" s="18" t="s">
        <v>227</v>
      </c>
      <c r="F708" s="18" t="s">
        <v>131</v>
      </c>
      <c r="G708" s="42">
        <v>5003</v>
      </c>
      <c r="H708" s="42">
        <v>61500</v>
      </c>
      <c r="I708" s="42">
        <v>61500</v>
      </c>
    </row>
    <row r="709" spans="1:9" s="66" customFormat="1" ht="16.5">
      <c r="A709" s="40" t="s">
        <v>47</v>
      </c>
      <c r="B709" s="23">
        <v>917</v>
      </c>
      <c r="C709" s="18" t="s">
        <v>12</v>
      </c>
      <c r="D709" s="18"/>
      <c r="E709" s="18"/>
      <c r="F709" s="18"/>
      <c r="G709" s="43">
        <f aca="true" t="shared" si="100" ref="G709:I711">G710</f>
        <v>2016000</v>
      </c>
      <c r="H709" s="43">
        <f t="shared" si="100"/>
        <v>2016000</v>
      </c>
      <c r="I709" s="43">
        <f t="shared" si="100"/>
        <v>2016000</v>
      </c>
    </row>
    <row r="710" spans="1:9" s="66" customFormat="1" ht="16.5">
      <c r="A710" s="41" t="s">
        <v>20</v>
      </c>
      <c r="B710" s="23">
        <v>917</v>
      </c>
      <c r="C710" s="18" t="s">
        <v>12</v>
      </c>
      <c r="D710" s="18" t="s">
        <v>35</v>
      </c>
      <c r="E710" s="18"/>
      <c r="F710" s="18"/>
      <c r="G710" s="43">
        <f t="shared" si="100"/>
        <v>2016000</v>
      </c>
      <c r="H710" s="43">
        <f t="shared" si="100"/>
        <v>2016000</v>
      </c>
      <c r="I710" s="43">
        <f t="shared" si="100"/>
        <v>2016000</v>
      </c>
    </row>
    <row r="711" spans="1:9" s="66" customFormat="1" ht="33">
      <c r="A711" s="74" t="s">
        <v>1138</v>
      </c>
      <c r="B711" s="64">
        <v>917</v>
      </c>
      <c r="C711" s="107" t="s">
        <v>12</v>
      </c>
      <c r="D711" s="107" t="s">
        <v>35</v>
      </c>
      <c r="E711" s="61" t="s">
        <v>256</v>
      </c>
      <c r="F711" s="59"/>
      <c r="G711" s="43">
        <f t="shared" si="100"/>
        <v>2016000</v>
      </c>
      <c r="H711" s="43">
        <f t="shared" si="100"/>
        <v>2016000</v>
      </c>
      <c r="I711" s="43">
        <f t="shared" si="100"/>
        <v>2016000</v>
      </c>
    </row>
    <row r="712" spans="1:9" s="66" customFormat="1" ht="33">
      <c r="A712" s="73" t="s">
        <v>441</v>
      </c>
      <c r="B712" s="64">
        <v>917</v>
      </c>
      <c r="C712" s="107" t="s">
        <v>12</v>
      </c>
      <c r="D712" s="107" t="s">
        <v>35</v>
      </c>
      <c r="E712" s="61" t="s">
        <v>1216</v>
      </c>
      <c r="F712" s="59"/>
      <c r="G712" s="42">
        <f>G713+G716</f>
        <v>2016000</v>
      </c>
      <c r="H712" s="42">
        <f>H713+H716</f>
        <v>2016000</v>
      </c>
      <c r="I712" s="42">
        <f>I713+I716</f>
        <v>2016000</v>
      </c>
    </row>
    <row r="713" spans="1:9" s="66" customFormat="1" ht="16.5">
      <c r="A713" s="73" t="s">
        <v>442</v>
      </c>
      <c r="B713" s="64">
        <v>917</v>
      </c>
      <c r="C713" s="107" t="s">
        <v>12</v>
      </c>
      <c r="D713" s="107" t="s">
        <v>35</v>
      </c>
      <c r="E713" s="61" t="s">
        <v>1217</v>
      </c>
      <c r="F713" s="59"/>
      <c r="G713" s="42">
        <f>G714+G715</f>
        <v>318000</v>
      </c>
      <c r="H713" s="42">
        <f>H714+H715</f>
        <v>318000</v>
      </c>
      <c r="I713" s="42">
        <f>I714+I715</f>
        <v>318000</v>
      </c>
    </row>
    <row r="714" spans="1:9" ht="33">
      <c r="A714" s="41" t="s">
        <v>130</v>
      </c>
      <c r="B714" s="64">
        <v>917</v>
      </c>
      <c r="C714" s="107" t="s">
        <v>12</v>
      </c>
      <c r="D714" s="107" t="s">
        <v>35</v>
      </c>
      <c r="E714" s="61" t="s">
        <v>1217</v>
      </c>
      <c r="F714" s="59">
        <v>240</v>
      </c>
      <c r="G714" s="42">
        <v>318000</v>
      </c>
      <c r="H714" s="42">
        <v>318000</v>
      </c>
      <c r="I714" s="42">
        <v>318000</v>
      </c>
    </row>
    <row r="715" spans="1:9" ht="18.75" hidden="1">
      <c r="A715" s="75" t="s">
        <v>468</v>
      </c>
      <c r="B715" s="64">
        <v>917</v>
      </c>
      <c r="C715" s="107" t="s">
        <v>12</v>
      </c>
      <c r="D715" s="107" t="s">
        <v>35</v>
      </c>
      <c r="E715" s="61" t="s">
        <v>1217</v>
      </c>
      <c r="F715" s="59">
        <v>410</v>
      </c>
      <c r="G715" s="42"/>
      <c r="H715" s="42"/>
      <c r="I715" s="42"/>
    </row>
    <row r="716" spans="1:9" s="66" customFormat="1" ht="16.5">
      <c r="A716" s="41" t="s">
        <v>473</v>
      </c>
      <c r="B716" s="64">
        <v>917</v>
      </c>
      <c r="C716" s="107" t="s">
        <v>12</v>
      </c>
      <c r="D716" s="107" t="s">
        <v>35</v>
      </c>
      <c r="E716" s="61" t="s">
        <v>1218</v>
      </c>
      <c r="F716" s="59"/>
      <c r="G716" s="42">
        <f>G717</f>
        <v>1698000</v>
      </c>
      <c r="H716" s="42">
        <f>H717</f>
        <v>1698000</v>
      </c>
      <c r="I716" s="42">
        <f>I717</f>
        <v>1698000</v>
      </c>
    </row>
    <row r="717" spans="1:9" s="66" customFormat="1" ht="33">
      <c r="A717" s="41" t="s">
        <v>130</v>
      </c>
      <c r="B717" s="64">
        <v>917</v>
      </c>
      <c r="C717" s="107" t="s">
        <v>12</v>
      </c>
      <c r="D717" s="107" t="s">
        <v>35</v>
      </c>
      <c r="E717" s="61" t="s">
        <v>1218</v>
      </c>
      <c r="F717" s="59">
        <v>240</v>
      </c>
      <c r="G717" s="42">
        <v>1698000</v>
      </c>
      <c r="H717" s="42">
        <v>1698000</v>
      </c>
      <c r="I717" s="42">
        <v>1698000</v>
      </c>
    </row>
    <row r="718" spans="1:9" s="66" customFormat="1" ht="16.5" hidden="1">
      <c r="A718" s="41" t="s">
        <v>28</v>
      </c>
      <c r="B718" s="23">
        <v>917</v>
      </c>
      <c r="C718" s="18" t="s">
        <v>8</v>
      </c>
      <c r="D718" s="18"/>
      <c r="E718" s="18"/>
      <c r="F718" s="18"/>
      <c r="G718" s="42">
        <f>G719</f>
        <v>0</v>
      </c>
      <c r="H718" s="42">
        <f aca="true" t="shared" si="101" ref="H718:I721">H719</f>
        <v>0</v>
      </c>
      <c r="I718" s="42">
        <f t="shared" si="101"/>
        <v>0</v>
      </c>
    </row>
    <row r="719" spans="1:9" s="66" customFormat="1" ht="33" hidden="1">
      <c r="A719" s="96" t="s">
        <v>118</v>
      </c>
      <c r="B719" s="23">
        <v>917</v>
      </c>
      <c r="C719" s="18" t="s">
        <v>8</v>
      </c>
      <c r="D719" s="18" t="s">
        <v>13</v>
      </c>
      <c r="E719" s="18"/>
      <c r="F719" s="18"/>
      <c r="G719" s="42">
        <f>G720</f>
        <v>0</v>
      </c>
      <c r="H719" s="42">
        <f t="shared" si="101"/>
        <v>0</v>
      </c>
      <c r="I719" s="42">
        <f t="shared" si="101"/>
        <v>0</v>
      </c>
    </row>
    <row r="720" spans="1:9" s="66" customFormat="1" ht="33" hidden="1">
      <c r="A720" s="40" t="s">
        <v>1127</v>
      </c>
      <c r="B720" s="23">
        <v>917</v>
      </c>
      <c r="C720" s="18" t="s">
        <v>8</v>
      </c>
      <c r="D720" s="18" t="s">
        <v>13</v>
      </c>
      <c r="E720" s="61" t="s">
        <v>235</v>
      </c>
      <c r="F720" s="59"/>
      <c r="G720" s="43">
        <f>G721</f>
        <v>0</v>
      </c>
      <c r="H720" s="43">
        <f t="shared" si="101"/>
        <v>0</v>
      </c>
      <c r="I720" s="43">
        <f t="shared" si="101"/>
        <v>0</v>
      </c>
    </row>
    <row r="721" spans="1:9" s="66" customFormat="1" ht="33" hidden="1">
      <c r="A721" s="74" t="s">
        <v>437</v>
      </c>
      <c r="B721" s="23">
        <v>917</v>
      </c>
      <c r="C721" s="18" t="s">
        <v>8</v>
      </c>
      <c r="D721" s="18" t="s">
        <v>13</v>
      </c>
      <c r="E721" s="61" t="s">
        <v>1231</v>
      </c>
      <c r="F721" s="65"/>
      <c r="G721" s="42">
        <f>G722</f>
        <v>0</v>
      </c>
      <c r="H721" s="42">
        <f t="shared" si="101"/>
        <v>0</v>
      </c>
      <c r="I721" s="42">
        <f t="shared" si="101"/>
        <v>0</v>
      </c>
    </row>
    <row r="722" spans="1:9" ht="33" hidden="1">
      <c r="A722" s="74" t="s">
        <v>477</v>
      </c>
      <c r="B722" s="23">
        <v>917</v>
      </c>
      <c r="C722" s="18" t="s">
        <v>8</v>
      </c>
      <c r="D722" s="18" t="s">
        <v>13</v>
      </c>
      <c r="E722" s="61" t="s">
        <v>1232</v>
      </c>
      <c r="F722" s="65"/>
      <c r="G722" s="42">
        <f>G723</f>
        <v>0</v>
      </c>
      <c r="H722" s="42">
        <f>H723</f>
        <v>0</v>
      </c>
      <c r="I722" s="42">
        <f>I723</f>
        <v>0</v>
      </c>
    </row>
    <row r="723" spans="1:9" ht="33" hidden="1">
      <c r="A723" s="41" t="s">
        <v>130</v>
      </c>
      <c r="B723" s="23">
        <v>917</v>
      </c>
      <c r="C723" s="18" t="s">
        <v>8</v>
      </c>
      <c r="D723" s="18" t="s">
        <v>13</v>
      </c>
      <c r="E723" s="61" t="s">
        <v>1232</v>
      </c>
      <c r="F723" s="65">
        <v>240</v>
      </c>
      <c r="G723" s="43"/>
      <c r="H723" s="43"/>
      <c r="I723" s="43"/>
    </row>
    <row r="724" spans="1:9" s="66" customFormat="1" ht="16.5">
      <c r="A724" s="41" t="s">
        <v>1</v>
      </c>
      <c r="B724" s="23">
        <v>917</v>
      </c>
      <c r="C724" s="18" t="s">
        <v>16</v>
      </c>
      <c r="D724" s="18"/>
      <c r="E724" s="18"/>
      <c r="F724" s="18"/>
      <c r="G724" s="43">
        <f aca="true" t="shared" si="102" ref="G724:I727">G725</f>
        <v>11066000</v>
      </c>
      <c r="H724" s="43">
        <f t="shared" si="102"/>
        <v>8767000</v>
      </c>
      <c r="I724" s="43">
        <f t="shared" si="102"/>
        <v>7639000</v>
      </c>
    </row>
    <row r="725" spans="1:9" s="66" customFormat="1" ht="16.5">
      <c r="A725" s="41" t="s">
        <v>41</v>
      </c>
      <c r="B725" s="23">
        <v>917</v>
      </c>
      <c r="C725" s="18" t="s">
        <v>16</v>
      </c>
      <c r="D725" s="18" t="s">
        <v>12</v>
      </c>
      <c r="E725" s="18"/>
      <c r="F725" s="18"/>
      <c r="G725" s="42">
        <f>G726</f>
        <v>11066000</v>
      </c>
      <c r="H725" s="42">
        <f t="shared" si="102"/>
        <v>8767000</v>
      </c>
      <c r="I725" s="42">
        <f t="shared" si="102"/>
        <v>7639000</v>
      </c>
    </row>
    <row r="726" spans="1:9" s="66" customFormat="1" ht="16.5">
      <c r="A726" s="41" t="s">
        <v>1129</v>
      </c>
      <c r="B726" s="23">
        <v>917</v>
      </c>
      <c r="C726" s="18" t="s">
        <v>16</v>
      </c>
      <c r="D726" s="18" t="s">
        <v>12</v>
      </c>
      <c r="E726" s="61" t="s">
        <v>255</v>
      </c>
      <c r="F726" s="59"/>
      <c r="G726" s="43">
        <f t="shared" si="102"/>
        <v>11066000</v>
      </c>
      <c r="H726" s="43">
        <f t="shared" si="102"/>
        <v>8767000</v>
      </c>
      <c r="I726" s="43">
        <f t="shared" si="102"/>
        <v>7639000</v>
      </c>
    </row>
    <row r="727" spans="1:9" s="66" customFormat="1" ht="33">
      <c r="A727" s="40" t="s">
        <v>513</v>
      </c>
      <c r="B727" s="23">
        <v>917</v>
      </c>
      <c r="C727" s="18" t="s">
        <v>16</v>
      </c>
      <c r="D727" s="18" t="s">
        <v>12</v>
      </c>
      <c r="E727" s="18" t="s">
        <v>275</v>
      </c>
      <c r="F727" s="59"/>
      <c r="G727" s="43">
        <f t="shared" si="102"/>
        <v>11066000</v>
      </c>
      <c r="H727" s="43">
        <f t="shared" si="102"/>
        <v>8767000</v>
      </c>
      <c r="I727" s="43">
        <f t="shared" si="102"/>
        <v>7639000</v>
      </c>
    </row>
    <row r="728" spans="1:9" s="66" customFormat="1" ht="33">
      <c r="A728" s="40" t="s">
        <v>187</v>
      </c>
      <c r="B728" s="23">
        <v>917</v>
      </c>
      <c r="C728" s="18" t="s">
        <v>16</v>
      </c>
      <c r="D728" s="18" t="s">
        <v>12</v>
      </c>
      <c r="E728" s="18" t="s">
        <v>376</v>
      </c>
      <c r="F728" s="59"/>
      <c r="G728" s="43">
        <f>G731+G729</f>
        <v>11066000</v>
      </c>
      <c r="H728" s="43">
        <f>H731+H729</f>
        <v>8767000</v>
      </c>
      <c r="I728" s="43">
        <f>I731+I729</f>
        <v>7639000</v>
      </c>
    </row>
    <row r="729" spans="1:9" s="66" customFormat="1" ht="49.5">
      <c r="A729" s="41" t="s">
        <v>382</v>
      </c>
      <c r="B729" s="23">
        <v>917</v>
      </c>
      <c r="C729" s="18" t="s">
        <v>16</v>
      </c>
      <c r="D729" s="18" t="s">
        <v>12</v>
      </c>
      <c r="E729" s="18" t="s">
        <v>470</v>
      </c>
      <c r="F729" s="59"/>
      <c r="G729" s="43">
        <f>G730</f>
        <v>6043000</v>
      </c>
      <c r="H729" s="43">
        <f>H730</f>
        <v>4530000</v>
      </c>
      <c r="I729" s="43">
        <f>I730</f>
        <v>3973000</v>
      </c>
    </row>
    <row r="730" spans="1:9" s="66" customFormat="1" ht="18.75">
      <c r="A730" s="75" t="s">
        <v>468</v>
      </c>
      <c r="B730" s="23">
        <v>917</v>
      </c>
      <c r="C730" s="18" t="s">
        <v>16</v>
      </c>
      <c r="D730" s="18" t="s">
        <v>12</v>
      </c>
      <c r="E730" s="18" t="s">
        <v>470</v>
      </c>
      <c r="F730" s="59">
        <v>410</v>
      </c>
      <c r="G730" s="43">
        <v>6043000</v>
      </c>
      <c r="H730" s="43">
        <v>4530000</v>
      </c>
      <c r="I730" s="43">
        <v>3973000</v>
      </c>
    </row>
    <row r="731" spans="1:9" s="66" customFormat="1" ht="49.5">
      <c r="A731" s="41" t="s">
        <v>381</v>
      </c>
      <c r="B731" s="23">
        <v>917</v>
      </c>
      <c r="C731" s="18" t="s">
        <v>16</v>
      </c>
      <c r="D731" s="18" t="s">
        <v>12</v>
      </c>
      <c r="E731" s="18" t="s">
        <v>383</v>
      </c>
      <c r="F731" s="59"/>
      <c r="G731" s="43">
        <f>G732</f>
        <v>5023000</v>
      </c>
      <c r="H731" s="43">
        <f>H732</f>
        <v>4237000</v>
      </c>
      <c r="I731" s="43">
        <f>I732</f>
        <v>3666000</v>
      </c>
    </row>
    <row r="732" spans="1:9" s="66" customFormat="1" ht="18.75">
      <c r="A732" s="75" t="s">
        <v>468</v>
      </c>
      <c r="B732" s="23">
        <v>917</v>
      </c>
      <c r="C732" s="18" t="s">
        <v>16</v>
      </c>
      <c r="D732" s="18" t="s">
        <v>12</v>
      </c>
      <c r="E732" s="18" t="s">
        <v>383</v>
      </c>
      <c r="F732" s="59">
        <v>410</v>
      </c>
      <c r="G732" s="43">
        <v>5023000</v>
      </c>
      <c r="H732" s="43">
        <v>4237000</v>
      </c>
      <c r="I732" s="43">
        <v>3666000</v>
      </c>
    </row>
    <row r="733" spans="1:9" ht="49.5">
      <c r="A733" s="121" t="s">
        <v>103</v>
      </c>
      <c r="B733" s="122">
        <v>920</v>
      </c>
      <c r="C733" s="123"/>
      <c r="D733" s="123"/>
      <c r="E733" s="123"/>
      <c r="F733" s="123"/>
      <c r="G733" s="124">
        <f>G734+G766+G772</f>
        <v>12913509.54</v>
      </c>
      <c r="H733" s="124">
        <f>H734+H766+H772</f>
        <v>12024760</v>
      </c>
      <c r="I733" s="124">
        <f>I734+I766+I772</f>
        <v>11303760</v>
      </c>
    </row>
    <row r="734" spans="1:9" s="66" customFormat="1" ht="16.5">
      <c r="A734" s="41" t="s">
        <v>34</v>
      </c>
      <c r="B734" s="23">
        <v>920</v>
      </c>
      <c r="C734" s="18" t="s">
        <v>12</v>
      </c>
      <c r="D734" s="18"/>
      <c r="E734" s="18"/>
      <c r="F734" s="18"/>
      <c r="G734" s="43">
        <f>G735+G744+G759</f>
        <v>11303760</v>
      </c>
      <c r="H734" s="43">
        <f>H735+H744+H759</f>
        <v>11303760</v>
      </c>
      <c r="I734" s="43">
        <f>I735+I744+I759</f>
        <v>11303760</v>
      </c>
    </row>
    <row r="735" spans="1:9" s="66" customFormat="1" ht="16.5">
      <c r="A735" s="41" t="s">
        <v>52</v>
      </c>
      <c r="B735" s="23">
        <v>920</v>
      </c>
      <c r="C735" s="19" t="s">
        <v>12</v>
      </c>
      <c r="D735" s="19" t="s">
        <v>9</v>
      </c>
      <c r="E735" s="18"/>
      <c r="F735" s="18"/>
      <c r="G735" s="42">
        <f>G736</f>
        <v>7746760</v>
      </c>
      <c r="H735" s="42">
        <f>H736</f>
        <v>7746760</v>
      </c>
      <c r="I735" s="42">
        <f>I736</f>
        <v>7746760</v>
      </c>
    </row>
    <row r="736" spans="1:9" s="66" customFormat="1" ht="33">
      <c r="A736" s="41" t="s">
        <v>1136</v>
      </c>
      <c r="B736" s="23">
        <v>920</v>
      </c>
      <c r="C736" s="19" t="s">
        <v>12</v>
      </c>
      <c r="D736" s="19" t="s">
        <v>9</v>
      </c>
      <c r="E736" s="61" t="s">
        <v>231</v>
      </c>
      <c r="F736" s="59"/>
      <c r="G736" s="43">
        <f aca="true" t="shared" si="103" ref="G736:I738">G737</f>
        <v>7746760</v>
      </c>
      <c r="H736" s="43">
        <f t="shared" si="103"/>
        <v>7746760</v>
      </c>
      <c r="I736" s="43">
        <f t="shared" si="103"/>
        <v>7746760</v>
      </c>
    </row>
    <row r="737" spans="1:9" s="66" customFormat="1" ht="49.5">
      <c r="A737" s="41" t="s">
        <v>515</v>
      </c>
      <c r="B737" s="23">
        <v>920</v>
      </c>
      <c r="C737" s="19" t="s">
        <v>12</v>
      </c>
      <c r="D737" s="19" t="s">
        <v>9</v>
      </c>
      <c r="E737" s="18" t="s">
        <v>232</v>
      </c>
      <c r="F737" s="59"/>
      <c r="G737" s="43">
        <f t="shared" si="103"/>
        <v>7746760</v>
      </c>
      <c r="H737" s="43">
        <f t="shared" si="103"/>
        <v>7746760</v>
      </c>
      <c r="I737" s="43">
        <f t="shared" si="103"/>
        <v>7746760</v>
      </c>
    </row>
    <row r="738" spans="1:9" s="66" customFormat="1" ht="16.5">
      <c r="A738" s="41" t="s">
        <v>177</v>
      </c>
      <c r="B738" s="23">
        <v>920</v>
      </c>
      <c r="C738" s="19" t="s">
        <v>12</v>
      </c>
      <c r="D738" s="19" t="s">
        <v>9</v>
      </c>
      <c r="E738" s="18" t="s">
        <v>428</v>
      </c>
      <c r="F738" s="59"/>
      <c r="G738" s="43">
        <f t="shared" si="103"/>
        <v>7746760</v>
      </c>
      <c r="H738" s="43">
        <f t="shared" si="103"/>
        <v>7746760</v>
      </c>
      <c r="I738" s="43">
        <f t="shared" si="103"/>
        <v>7746760</v>
      </c>
    </row>
    <row r="739" spans="1:9" s="66" customFormat="1" ht="16.5">
      <c r="A739" s="41" t="s">
        <v>129</v>
      </c>
      <c r="B739" s="23">
        <v>920</v>
      </c>
      <c r="C739" s="19" t="s">
        <v>12</v>
      </c>
      <c r="D739" s="19" t="s">
        <v>9</v>
      </c>
      <c r="E739" s="18" t="s">
        <v>429</v>
      </c>
      <c r="F739" s="59"/>
      <c r="G739" s="42">
        <f>G740+G741+G742+G743</f>
        <v>7746760</v>
      </c>
      <c r="H739" s="42">
        <f>H740+H741+H742+H743</f>
        <v>7746760</v>
      </c>
      <c r="I739" s="42">
        <f>I740+I741+I742+I743</f>
        <v>7746760</v>
      </c>
    </row>
    <row r="740" spans="1:9" ht="33">
      <c r="A740" s="41" t="s">
        <v>127</v>
      </c>
      <c r="B740" s="23">
        <v>920</v>
      </c>
      <c r="C740" s="19" t="s">
        <v>12</v>
      </c>
      <c r="D740" s="19" t="s">
        <v>9</v>
      </c>
      <c r="E740" s="18" t="s">
        <v>429</v>
      </c>
      <c r="F740" s="59">
        <v>120</v>
      </c>
      <c r="G740" s="43">
        <v>5820900</v>
      </c>
      <c r="H740" s="43">
        <v>5820900</v>
      </c>
      <c r="I740" s="43">
        <v>5820900</v>
      </c>
    </row>
    <row r="741" spans="1:9" s="66" customFormat="1" ht="33">
      <c r="A741" s="41" t="s">
        <v>130</v>
      </c>
      <c r="B741" s="23">
        <v>920</v>
      </c>
      <c r="C741" s="19" t="s">
        <v>12</v>
      </c>
      <c r="D741" s="19" t="s">
        <v>9</v>
      </c>
      <c r="E741" s="18" t="s">
        <v>429</v>
      </c>
      <c r="F741" s="59">
        <v>240</v>
      </c>
      <c r="G741" s="43">
        <v>1853860</v>
      </c>
      <c r="H741" s="43">
        <v>1853860</v>
      </c>
      <c r="I741" s="43">
        <v>1853860</v>
      </c>
    </row>
    <row r="742" spans="1:9" s="66" customFormat="1" ht="16.5">
      <c r="A742" s="95" t="s">
        <v>194</v>
      </c>
      <c r="B742" s="23">
        <v>920</v>
      </c>
      <c r="C742" s="19" t="s">
        <v>12</v>
      </c>
      <c r="D742" s="19" t="s">
        <v>9</v>
      </c>
      <c r="E742" s="18" t="s">
        <v>429</v>
      </c>
      <c r="F742" s="59">
        <v>830</v>
      </c>
      <c r="G742" s="43">
        <v>15000</v>
      </c>
      <c r="H742" s="43">
        <v>15000</v>
      </c>
      <c r="I742" s="43">
        <v>15000</v>
      </c>
    </row>
    <row r="743" spans="1:9" s="66" customFormat="1" ht="16.5">
      <c r="A743" s="41" t="s">
        <v>132</v>
      </c>
      <c r="B743" s="23">
        <v>920</v>
      </c>
      <c r="C743" s="19" t="s">
        <v>12</v>
      </c>
      <c r="D743" s="19" t="s">
        <v>9</v>
      </c>
      <c r="E743" s="18" t="s">
        <v>429</v>
      </c>
      <c r="F743" s="59">
        <v>850</v>
      </c>
      <c r="G743" s="43">
        <v>57000</v>
      </c>
      <c r="H743" s="43">
        <v>57000</v>
      </c>
      <c r="I743" s="43">
        <v>57000</v>
      </c>
    </row>
    <row r="744" spans="1:9" s="66" customFormat="1" ht="16.5">
      <c r="A744" s="41" t="s">
        <v>48</v>
      </c>
      <c r="B744" s="23">
        <v>920</v>
      </c>
      <c r="C744" s="18" t="s">
        <v>12</v>
      </c>
      <c r="D744" s="18" t="s">
        <v>13</v>
      </c>
      <c r="E744" s="18"/>
      <c r="F744" s="18"/>
      <c r="G744" s="43">
        <f>G745+G757</f>
        <v>3557000</v>
      </c>
      <c r="H744" s="43">
        <f>H745+H757</f>
        <v>3557000</v>
      </c>
      <c r="I744" s="43">
        <f>I745+I757</f>
        <v>3557000</v>
      </c>
    </row>
    <row r="745" spans="1:9" s="66" customFormat="1" ht="33">
      <c r="A745" s="41" t="s">
        <v>1136</v>
      </c>
      <c r="B745" s="23">
        <v>920</v>
      </c>
      <c r="C745" s="18" t="s">
        <v>12</v>
      </c>
      <c r="D745" s="18" t="s">
        <v>13</v>
      </c>
      <c r="E745" s="61" t="s">
        <v>231</v>
      </c>
      <c r="F745" s="59"/>
      <c r="G745" s="43">
        <f aca="true" t="shared" si="104" ref="G745:I746">G746</f>
        <v>1157000</v>
      </c>
      <c r="H745" s="43">
        <f t="shared" si="104"/>
        <v>1157000</v>
      </c>
      <c r="I745" s="43">
        <f t="shared" si="104"/>
        <v>1157000</v>
      </c>
    </row>
    <row r="746" spans="1:9" s="66" customFormat="1" ht="49.5">
      <c r="A746" s="41" t="s">
        <v>515</v>
      </c>
      <c r="B746" s="23">
        <v>920</v>
      </c>
      <c r="C746" s="18" t="s">
        <v>12</v>
      </c>
      <c r="D746" s="18" t="s">
        <v>13</v>
      </c>
      <c r="E746" s="18" t="s">
        <v>232</v>
      </c>
      <c r="F746" s="59"/>
      <c r="G746" s="43">
        <f t="shared" si="104"/>
        <v>1157000</v>
      </c>
      <c r="H746" s="43">
        <f t="shared" si="104"/>
        <v>1157000</v>
      </c>
      <c r="I746" s="43">
        <f t="shared" si="104"/>
        <v>1157000</v>
      </c>
    </row>
    <row r="747" spans="1:9" s="66" customFormat="1" ht="33">
      <c r="A747" s="40" t="s">
        <v>426</v>
      </c>
      <c r="B747" s="23">
        <v>920</v>
      </c>
      <c r="C747" s="18" t="s">
        <v>12</v>
      </c>
      <c r="D747" s="18" t="s">
        <v>13</v>
      </c>
      <c r="E747" s="18" t="s">
        <v>260</v>
      </c>
      <c r="F747" s="59"/>
      <c r="G747" s="43">
        <f>G748+G752+G754</f>
        <v>1157000</v>
      </c>
      <c r="H747" s="43">
        <f>H748+H752+H754</f>
        <v>1157000</v>
      </c>
      <c r="I747" s="43">
        <f>I748+I752+I754</f>
        <v>1157000</v>
      </c>
    </row>
    <row r="748" spans="1:9" s="66" customFormat="1" ht="16.5">
      <c r="A748" s="71" t="s">
        <v>191</v>
      </c>
      <c r="B748" s="23">
        <v>920</v>
      </c>
      <c r="C748" s="18" t="s">
        <v>12</v>
      </c>
      <c r="D748" s="18" t="s">
        <v>13</v>
      </c>
      <c r="E748" s="18" t="s">
        <v>427</v>
      </c>
      <c r="F748" s="59"/>
      <c r="G748" s="43">
        <f>G749+G750</f>
        <v>150000</v>
      </c>
      <c r="H748" s="43">
        <f>H749+H750</f>
        <v>150000</v>
      </c>
      <c r="I748" s="43">
        <f>I749+I750</f>
        <v>150000</v>
      </c>
    </row>
    <row r="749" spans="1:9" s="66" customFormat="1" ht="33" hidden="1">
      <c r="A749" s="41" t="s">
        <v>130</v>
      </c>
      <c r="B749" s="23">
        <v>920</v>
      </c>
      <c r="C749" s="18" t="s">
        <v>12</v>
      </c>
      <c r="D749" s="18" t="s">
        <v>13</v>
      </c>
      <c r="E749" s="18" t="s">
        <v>427</v>
      </c>
      <c r="F749" s="59">
        <v>240</v>
      </c>
      <c r="G749" s="43"/>
      <c r="H749" s="43"/>
      <c r="I749" s="43"/>
    </row>
    <row r="750" spans="1:9" s="66" customFormat="1" ht="16.5">
      <c r="A750" s="41" t="s">
        <v>503</v>
      </c>
      <c r="B750" s="23">
        <v>920</v>
      </c>
      <c r="C750" s="18" t="s">
        <v>12</v>
      </c>
      <c r="D750" s="18" t="s">
        <v>13</v>
      </c>
      <c r="E750" s="18" t="s">
        <v>427</v>
      </c>
      <c r="F750" s="59">
        <v>350</v>
      </c>
      <c r="G750" s="43">
        <v>150000</v>
      </c>
      <c r="H750" s="43">
        <v>150000</v>
      </c>
      <c r="I750" s="43">
        <v>150000</v>
      </c>
    </row>
    <row r="751" spans="1:9" s="66" customFormat="1" ht="16.5">
      <c r="A751" s="41" t="s">
        <v>282</v>
      </c>
      <c r="B751" s="23">
        <v>920</v>
      </c>
      <c r="C751" s="18" t="s">
        <v>12</v>
      </c>
      <c r="D751" s="18" t="s">
        <v>13</v>
      </c>
      <c r="E751" s="18" t="s">
        <v>430</v>
      </c>
      <c r="F751" s="59"/>
      <c r="G751" s="43">
        <f>G752+G754</f>
        <v>1007000</v>
      </c>
      <c r="H751" s="43">
        <f>H752+H754</f>
        <v>1007000</v>
      </c>
      <c r="I751" s="43">
        <f>I752+I754</f>
        <v>1007000</v>
      </c>
    </row>
    <row r="752" spans="1:9" s="66" customFormat="1" ht="16.5">
      <c r="A752" s="41" t="s">
        <v>283</v>
      </c>
      <c r="B752" s="23">
        <v>920</v>
      </c>
      <c r="C752" s="18" t="s">
        <v>12</v>
      </c>
      <c r="D752" s="18" t="s">
        <v>13</v>
      </c>
      <c r="E752" s="18" t="s">
        <v>431</v>
      </c>
      <c r="F752" s="59"/>
      <c r="G752" s="43">
        <f>G753</f>
        <v>195000</v>
      </c>
      <c r="H752" s="43">
        <f>H753</f>
        <v>195000</v>
      </c>
      <c r="I752" s="43">
        <f>I753</f>
        <v>195000</v>
      </c>
    </row>
    <row r="753" spans="1:9" ht="33">
      <c r="A753" s="41" t="s">
        <v>130</v>
      </c>
      <c r="B753" s="23">
        <v>920</v>
      </c>
      <c r="C753" s="18" t="s">
        <v>12</v>
      </c>
      <c r="D753" s="18" t="s">
        <v>13</v>
      </c>
      <c r="E753" s="18" t="s">
        <v>431</v>
      </c>
      <c r="F753" s="59">
        <v>240</v>
      </c>
      <c r="G753" s="43">
        <v>195000</v>
      </c>
      <c r="H753" s="43">
        <v>195000</v>
      </c>
      <c r="I753" s="43">
        <v>195000</v>
      </c>
    </row>
    <row r="754" spans="1:9" ht="33">
      <c r="A754" s="41" t="s">
        <v>188</v>
      </c>
      <c r="B754" s="23">
        <v>920</v>
      </c>
      <c r="C754" s="18" t="s">
        <v>12</v>
      </c>
      <c r="D754" s="18" t="s">
        <v>13</v>
      </c>
      <c r="E754" s="18" t="s">
        <v>432</v>
      </c>
      <c r="F754" s="59"/>
      <c r="G754" s="43">
        <f>G755+G756</f>
        <v>812000</v>
      </c>
      <c r="H754" s="43">
        <f>H755+H756</f>
        <v>812000</v>
      </c>
      <c r="I754" s="43">
        <f>I755+I756</f>
        <v>812000</v>
      </c>
    </row>
    <row r="755" spans="1:9" s="66" customFormat="1" ht="33">
      <c r="A755" s="41" t="s">
        <v>127</v>
      </c>
      <c r="B755" s="23">
        <v>920</v>
      </c>
      <c r="C755" s="18" t="s">
        <v>12</v>
      </c>
      <c r="D755" s="18" t="s">
        <v>13</v>
      </c>
      <c r="E755" s="18" t="s">
        <v>432</v>
      </c>
      <c r="F755" s="59">
        <v>120</v>
      </c>
      <c r="G755" s="43">
        <v>714000</v>
      </c>
      <c r="H755" s="43">
        <v>714000</v>
      </c>
      <c r="I755" s="43">
        <v>714000</v>
      </c>
    </row>
    <row r="756" spans="1:9" s="66" customFormat="1" ht="33">
      <c r="A756" s="41" t="s">
        <v>130</v>
      </c>
      <c r="B756" s="23">
        <v>920</v>
      </c>
      <c r="C756" s="18" t="s">
        <v>12</v>
      </c>
      <c r="D756" s="18" t="s">
        <v>13</v>
      </c>
      <c r="E756" s="18" t="s">
        <v>432</v>
      </c>
      <c r="F756" s="59">
        <v>240</v>
      </c>
      <c r="G756" s="43">
        <v>98000</v>
      </c>
      <c r="H756" s="43">
        <v>98000</v>
      </c>
      <c r="I756" s="43">
        <v>98000</v>
      </c>
    </row>
    <row r="757" spans="1:9" ht="49.5">
      <c r="A757" s="41" t="s">
        <v>201</v>
      </c>
      <c r="B757" s="23">
        <v>920</v>
      </c>
      <c r="C757" s="18" t="s">
        <v>12</v>
      </c>
      <c r="D757" s="18" t="s">
        <v>13</v>
      </c>
      <c r="E757" s="61" t="s">
        <v>210</v>
      </c>
      <c r="F757" s="18"/>
      <c r="G757" s="42">
        <f>G758</f>
        <v>2400000</v>
      </c>
      <c r="H757" s="42">
        <f>H758</f>
        <v>2400000</v>
      </c>
      <c r="I757" s="42">
        <f>I758</f>
        <v>2400000</v>
      </c>
    </row>
    <row r="758" spans="1:9" s="66" customFormat="1" ht="16.5">
      <c r="A758" s="41" t="s">
        <v>46</v>
      </c>
      <c r="B758" s="23">
        <v>920</v>
      </c>
      <c r="C758" s="18" t="s">
        <v>12</v>
      </c>
      <c r="D758" s="18" t="s">
        <v>13</v>
      </c>
      <c r="E758" s="18" t="s">
        <v>226</v>
      </c>
      <c r="F758" s="59"/>
      <c r="G758" s="42">
        <f>G764</f>
        <v>2400000</v>
      </c>
      <c r="H758" s="42">
        <f>H764</f>
        <v>2400000</v>
      </c>
      <c r="I758" s="42">
        <f>I764</f>
        <v>2400000</v>
      </c>
    </row>
    <row r="759" spans="1:9" s="66" customFormat="1" ht="16.5" hidden="1">
      <c r="A759" s="41" t="s">
        <v>20</v>
      </c>
      <c r="B759" s="23">
        <v>920</v>
      </c>
      <c r="C759" s="18" t="s">
        <v>12</v>
      </c>
      <c r="D759" s="18" t="s">
        <v>35</v>
      </c>
      <c r="E759" s="18"/>
      <c r="F759" s="18"/>
      <c r="G759" s="43">
        <f aca="true" t="shared" si="105" ref="G759:I762">G760</f>
        <v>0</v>
      </c>
      <c r="H759" s="43">
        <f t="shared" si="105"/>
        <v>0</v>
      </c>
      <c r="I759" s="43">
        <f t="shared" si="105"/>
        <v>0</v>
      </c>
    </row>
    <row r="760" spans="1:9" ht="33" hidden="1">
      <c r="A760" s="41" t="s">
        <v>417</v>
      </c>
      <c r="B760" s="23">
        <v>920</v>
      </c>
      <c r="C760" s="18" t="s">
        <v>12</v>
      </c>
      <c r="D760" s="18" t="s">
        <v>35</v>
      </c>
      <c r="E760" s="61" t="s">
        <v>239</v>
      </c>
      <c r="F760" s="59"/>
      <c r="G760" s="43">
        <f t="shared" si="105"/>
        <v>0</v>
      </c>
      <c r="H760" s="43">
        <f t="shared" si="105"/>
        <v>0</v>
      </c>
      <c r="I760" s="43">
        <f t="shared" si="105"/>
        <v>0</v>
      </c>
    </row>
    <row r="761" spans="1:9" ht="16.5" hidden="1">
      <c r="A761" s="41" t="s">
        <v>418</v>
      </c>
      <c r="B761" s="23">
        <v>920</v>
      </c>
      <c r="C761" s="18" t="s">
        <v>12</v>
      </c>
      <c r="D761" s="18" t="s">
        <v>35</v>
      </c>
      <c r="E761" s="18" t="s">
        <v>419</v>
      </c>
      <c r="F761" s="59"/>
      <c r="G761" s="43">
        <f t="shared" si="105"/>
        <v>0</v>
      </c>
      <c r="H761" s="43">
        <f t="shared" si="105"/>
        <v>0</v>
      </c>
      <c r="I761" s="43">
        <f t="shared" si="105"/>
        <v>0</v>
      </c>
    </row>
    <row r="762" spans="1:9" s="66" customFormat="1" ht="33" hidden="1">
      <c r="A762" s="41" t="s">
        <v>143</v>
      </c>
      <c r="B762" s="23">
        <v>920</v>
      </c>
      <c r="C762" s="18" t="s">
        <v>12</v>
      </c>
      <c r="D762" s="18" t="s">
        <v>35</v>
      </c>
      <c r="E762" s="18" t="s">
        <v>421</v>
      </c>
      <c r="F762" s="59"/>
      <c r="G762" s="43">
        <f t="shared" si="105"/>
        <v>0</v>
      </c>
      <c r="H762" s="43">
        <f t="shared" si="105"/>
        <v>0</v>
      </c>
      <c r="I762" s="43">
        <f t="shared" si="105"/>
        <v>0</v>
      </c>
    </row>
    <row r="763" spans="1:9" s="66" customFormat="1" ht="33" hidden="1">
      <c r="A763" s="41" t="s">
        <v>130</v>
      </c>
      <c r="B763" s="23">
        <v>920</v>
      </c>
      <c r="C763" s="18" t="s">
        <v>12</v>
      </c>
      <c r="D763" s="18" t="s">
        <v>35</v>
      </c>
      <c r="E763" s="18" t="s">
        <v>421</v>
      </c>
      <c r="F763" s="59">
        <v>240</v>
      </c>
      <c r="G763" s="43">
        <f>20000-20000</f>
        <v>0</v>
      </c>
      <c r="H763" s="43">
        <f>20000-20000</f>
        <v>0</v>
      </c>
      <c r="I763" s="43">
        <f>20000-20000</f>
        <v>0</v>
      </c>
    </row>
    <row r="764" spans="1:9" s="66" customFormat="1" ht="49.5">
      <c r="A764" s="41" t="s">
        <v>480</v>
      </c>
      <c r="B764" s="23">
        <v>920</v>
      </c>
      <c r="C764" s="18" t="s">
        <v>12</v>
      </c>
      <c r="D764" s="18" t="s">
        <v>13</v>
      </c>
      <c r="E764" s="18" t="s">
        <v>481</v>
      </c>
      <c r="F764" s="59"/>
      <c r="G764" s="43">
        <f>G765</f>
        <v>2400000</v>
      </c>
      <c r="H764" s="43">
        <f>H765</f>
        <v>2400000</v>
      </c>
      <c r="I764" s="43">
        <f>I765</f>
        <v>2400000</v>
      </c>
    </row>
    <row r="765" spans="1:9" s="66" customFormat="1" ht="33">
      <c r="A765" s="41" t="s">
        <v>130</v>
      </c>
      <c r="B765" s="23">
        <v>920</v>
      </c>
      <c r="C765" s="18" t="s">
        <v>12</v>
      </c>
      <c r="D765" s="18" t="s">
        <v>13</v>
      </c>
      <c r="E765" s="18" t="s">
        <v>481</v>
      </c>
      <c r="F765" s="59">
        <v>240</v>
      </c>
      <c r="G765" s="43">
        <f>2339000+61000</f>
        <v>2400000</v>
      </c>
      <c r="H765" s="43">
        <f>2339000+61000</f>
        <v>2400000</v>
      </c>
      <c r="I765" s="43">
        <f>2339000+61000</f>
        <v>2400000</v>
      </c>
    </row>
    <row r="766" spans="1:9" s="66" customFormat="1" ht="16.5" hidden="1">
      <c r="A766" s="41" t="s">
        <v>28</v>
      </c>
      <c r="B766" s="23">
        <v>920</v>
      </c>
      <c r="C766" s="18" t="s">
        <v>8</v>
      </c>
      <c r="D766" s="18"/>
      <c r="E766" s="18"/>
      <c r="F766" s="18"/>
      <c r="G766" s="42">
        <f>G767</f>
        <v>0</v>
      </c>
      <c r="H766" s="42">
        <f aca="true" t="shared" si="106" ref="H766:I769">H767</f>
        <v>0</v>
      </c>
      <c r="I766" s="42">
        <f t="shared" si="106"/>
        <v>0</v>
      </c>
    </row>
    <row r="767" spans="1:9" s="66" customFormat="1" ht="33" hidden="1">
      <c r="A767" s="96" t="s">
        <v>118</v>
      </c>
      <c r="B767" s="23">
        <v>920</v>
      </c>
      <c r="C767" s="18" t="s">
        <v>8</v>
      </c>
      <c r="D767" s="18" t="s">
        <v>13</v>
      </c>
      <c r="E767" s="18"/>
      <c r="F767" s="18"/>
      <c r="G767" s="42">
        <f>G768</f>
        <v>0</v>
      </c>
      <c r="H767" s="42">
        <f t="shared" si="106"/>
        <v>0</v>
      </c>
      <c r="I767" s="42">
        <f t="shared" si="106"/>
        <v>0</v>
      </c>
    </row>
    <row r="768" spans="1:9" s="66" customFormat="1" ht="33" hidden="1">
      <c r="A768" s="40" t="s">
        <v>1127</v>
      </c>
      <c r="B768" s="23">
        <v>920</v>
      </c>
      <c r="C768" s="18" t="s">
        <v>8</v>
      </c>
      <c r="D768" s="18" t="s">
        <v>13</v>
      </c>
      <c r="E768" s="61" t="s">
        <v>235</v>
      </c>
      <c r="F768" s="59"/>
      <c r="G768" s="43">
        <f>G769</f>
        <v>0</v>
      </c>
      <c r="H768" s="43">
        <f t="shared" si="106"/>
        <v>0</v>
      </c>
      <c r="I768" s="43">
        <f t="shared" si="106"/>
        <v>0</v>
      </c>
    </row>
    <row r="769" spans="1:9" s="66" customFormat="1" ht="33" hidden="1">
      <c r="A769" s="74" t="s">
        <v>437</v>
      </c>
      <c r="B769" s="23">
        <v>920</v>
      </c>
      <c r="C769" s="18" t="s">
        <v>8</v>
      </c>
      <c r="D769" s="18" t="s">
        <v>13</v>
      </c>
      <c r="E769" s="61" t="s">
        <v>1231</v>
      </c>
      <c r="F769" s="65"/>
      <c r="G769" s="42">
        <f>G770</f>
        <v>0</v>
      </c>
      <c r="H769" s="42">
        <f t="shared" si="106"/>
        <v>0</v>
      </c>
      <c r="I769" s="42">
        <f t="shared" si="106"/>
        <v>0</v>
      </c>
    </row>
    <row r="770" spans="1:9" ht="33" hidden="1">
      <c r="A770" s="74" t="s">
        <v>477</v>
      </c>
      <c r="B770" s="23">
        <v>920</v>
      </c>
      <c r="C770" s="18" t="s">
        <v>8</v>
      </c>
      <c r="D770" s="18" t="s">
        <v>13</v>
      </c>
      <c r="E770" s="61" t="s">
        <v>1232</v>
      </c>
      <c r="F770" s="65"/>
      <c r="G770" s="42">
        <f>G771</f>
        <v>0</v>
      </c>
      <c r="H770" s="42">
        <f>H771</f>
        <v>0</v>
      </c>
      <c r="I770" s="42">
        <f>I771</f>
        <v>0</v>
      </c>
    </row>
    <row r="771" spans="1:9" ht="33" hidden="1">
      <c r="A771" s="41" t="s">
        <v>130</v>
      </c>
      <c r="B771" s="23">
        <v>920</v>
      </c>
      <c r="C771" s="18" t="s">
        <v>8</v>
      </c>
      <c r="D771" s="18" t="s">
        <v>13</v>
      </c>
      <c r="E771" s="61" t="s">
        <v>1232</v>
      </c>
      <c r="F771" s="65">
        <v>240</v>
      </c>
      <c r="G771" s="43"/>
      <c r="H771" s="43"/>
      <c r="I771" s="43"/>
    </row>
    <row r="772" spans="1:9" s="66" customFormat="1" ht="16.5">
      <c r="A772" s="41" t="s">
        <v>1</v>
      </c>
      <c r="B772" s="23">
        <v>920</v>
      </c>
      <c r="C772" s="18" t="s">
        <v>16</v>
      </c>
      <c r="D772" s="18"/>
      <c r="E772" s="18"/>
      <c r="F772" s="18"/>
      <c r="G772" s="43">
        <f aca="true" t="shared" si="107" ref="G772:I776">G773</f>
        <v>1609749.54</v>
      </c>
      <c r="H772" s="43">
        <f t="shared" si="107"/>
        <v>721000</v>
      </c>
      <c r="I772" s="43">
        <f t="shared" si="107"/>
        <v>0</v>
      </c>
    </row>
    <row r="773" spans="1:9" s="66" customFormat="1" ht="16.5">
      <c r="A773" s="41" t="s">
        <v>63</v>
      </c>
      <c r="B773" s="23">
        <v>920</v>
      </c>
      <c r="C773" s="18" t="s">
        <v>16</v>
      </c>
      <c r="D773" s="18" t="s">
        <v>18</v>
      </c>
      <c r="E773" s="18"/>
      <c r="F773" s="18"/>
      <c r="G773" s="43">
        <f>G774</f>
        <v>1609749.54</v>
      </c>
      <c r="H773" s="43">
        <f t="shared" si="107"/>
        <v>721000</v>
      </c>
      <c r="I773" s="43">
        <f t="shared" si="107"/>
        <v>0</v>
      </c>
    </row>
    <row r="774" spans="1:9" s="66" customFormat="1" ht="33">
      <c r="A774" s="41" t="s">
        <v>1136</v>
      </c>
      <c r="B774" s="23">
        <v>920</v>
      </c>
      <c r="C774" s="18" t="s">
        <v>16</v>
      </c>
      <c r="D774" s="18" t="s">
        <v>18</v>
      </c>
      <c r="E774" s="61" t="s">
        <v>231</v>
      </c>
      <c r="F774" s="59"/>
      <c r="G774" s="43">
        <f t="shared" si="107"/>
        <v>1609749.54</v>
      </c>
      <c r="H774" s="43">
        <f t="shared" si="107"/>
        <v>721000</v>
      </c>
      <c r="I774" s="43">
        <f t="shared" si="107"/>
        <v>0</v>
      </c>
    </row>
    <row r="775" spans="1:9" s="66" customFormat="1" ht="16.5">
      <c r="A775" s="41" t="s">
        <v>1234</v>
      </c>
      <c r="B775" s="23">
        <v>920</v>
      </c>
      <c r="C775" s="18" t="s">
        <v>16</v>
      </c>
      <c r="D775" s="18" t="s">
        <v>18</v>
      </c>
      <c r="E775" s="18" t="s">
        <v>233</v>
      </c>
      <c r="F775" s="59"/>
      <c r="G775" s="43">
        <f t="shared" si="107"/>
        <v>1609749.54</v>
      </c>
      <c r="H775" s="43">
        <f t="shared" si="107"/>
        <v>721000</v>
      </c>
      <c r="I775" s="43">
        <f t="shared" si="107"/>
        <v>0</v>
      </c>
    </row>
    <row r="776" spans="1:9" s="66" customFormat="1" ht="33">
      <c r="A776" s="41" t="s">
        <v>248</v>
      </c>
      <c r="B776" s="23">
        <v>920</v>
      </c>
      <c r="C776" s="18" t="s">
        <v>16</v>
      </c>
      <c r="D776" s="18" t="s">
        <v>18</v>
      </c>
      <c r="E776" s="18" t="s">
        <v>278</v>
      </c>
      <c r="F776" s="59"/>
      <c r="G776" s="43">
        <f>G777</f>
        <v>1609749.54</v>
      </c>
      <c r="H776" s="43">
        <f t="shared" si="107"/>
        <v>721000</v>
      </c>
      <c r="I776" s="43">
        <f t="shared" si="107"/>
        <v>0</v>
      </c>
    </row>
    <row r="777" spans="1:9" ht="66">
      <c r="A777" s="72" t="s">
        <v>1279</v>
      </c>
      <c r="B777" s="23">
        <v>920</v>
      </c>
      <c r="C777" s="18" t="s">
        <v>16</v>
      </c>
      <c r="D777" s="18" t="s">
        <v>18</v>
      </c>
      <c r="E777" s="18" t="s">
        <v>1277</v>
      </c>
      <c r="F777" s="59"/>
      <c r="G777" s="43">
        <f>G778</f>
        <v>1609749.54</v>
      </c>
      <c r="H777" s="43">
        <f>H778</f>
        <v>721000</v>
      </c>
      <c r="I777" s="43">
        <f>I778</f>
        <v>0</v>
      </c>
    </row>
    <row r="778" spans="1:9" ht="33">
      <c r="A778" s="41" t="s">
        <v>192</v>
      </c>
      <c r="B778" s="23">
        <v>920</v>
      </c>
      <c r="C778" s="18" t="s">
        <v>16</v>
      </c>
      <c r="D778" s="18" t="s">
        <v>18</v>
      </c>
      <c r="E778" s="18" t="s">
        <v>1278</v>
      </c>
      <c r="F778" s="59">
        <v>320</v>
      </c>
      <c r="G778" s="43">
        <f>721000-721000+1609749.54</f>
        <v>1609749.54</v>
      </c>
      <c r="H778" s="43">
        <f>721000</f>
        <v>721000</v>
      </c>
      <c r="I778" s="43">
        <f>721000-721000</f>
        <v>0</v>
      </c>
    </row>
    <row r="779" spans="1:9" ht="16.5">
      <c r="A779" s="121" t="s">
        <v>7</v>
      </c>
      <c r="B779" s="122"/>
      <c r="C779" s="123"/>
      <c r="D779" s="123"/>
      <c r="E779" s="123"/>
      <c r="F779" s="123"/>
      <c r="G779" s="124">
        <f>G18+G48+G174+G324+G476+G584+G686+G733</f>
        <v>1420967782.64</v>
      </c>
      <c r="H779" s="124">
        <f>H18+H48+H174+H324+H476+H584+H686+H733</f>
        <v>1112340511</v>
      </c>
      <c r="I779" s="124">
        <f>I18+I48+I174+I324+I476+I584+I686+I733</f>
        <v>1267214826</v>
      </c>
    </row>
    <row r="780" spans="1:10" ht="16.5">
      <c r="A780" s="66"/>
      <c r="B780" s="110"/>
      <c r="J780" s="105"/>
    </row>
    <row r="781" spans="5:11" ht="16.5" hidden="1">
      <c r="E781" s="91" t="s">
        <v>1304</v>
      </c>
      <c r="H781" s="94">
        <v>11274000</v>
      </c>
      <c r="I781" s="94">
        <v>22332900</v>
      </c>
      <c r="J781" s="105"/>
      <c r="K781" s="105"/>
    </row>
    <row r="782" spans="5:9" ht="16.5" hidden="1">
      <c r="E782" s="91" t="s">
        <v>981</v>
      </c>
      <c r="H782" s="94">
        <f>H779+H781</f>
        <v>1123614511</v>
      </c>
      <c r="I782" s="94">
        <f>I779+I781</f>
        <v>1289547726</v>
      </c>
    </row>
    <row r="783" ht="16.5" hidden="1"/>
    <row r="784" ht="16.5" hidden="1"/>
    <row r="787" spans="1:5" ht="16.5">
      <c r="A787" s="260"/>
      <c r="B787" s="260"/>
      <c r="C787" s="260"/>
      <c r="D787" s="260"/>
      <c r="E787" s="260"/>
    </row>
  </sheetData>
  <sheetProtection/>
  <mergeCells count="4">
    <mergeCell ref="A787:E787"/>
    <mergeCell ref="A13:I13"/>
    <mergeCell ref="A14:I14"/>
    <mergeCell ref="A15:I15"/>
  </mergeCells>
  <printOptions/>
  <pageMargins left="0.7086614173228347" right="0.3937007874015748" top="0.5905511811023623" bottom="0.5905511811023623" header="0.31496062992125984" footer="0.31496062992125984"/>
  <pageSetup fitToHeight="0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80" zoomScaleNormal="80" zoomScaleSheetLayoutView="80" zoomScalePageLayoutView="0" workbookViewId="0" topLeftCell="A1">
      <selection activeCell="B10" sqref="B10"/>
    </sheetView>
  </sheetViews>
  <sheetFormatPr defaultColWidth="9.00390625" defaultRowHeight="12.75"/>
  <cols>
    <col min="1" max="1" width="84.875" style="81" customWidth="1"/>
    <col min="2" max="2" width="25.00390625" style="84" customWidth="1"/>
    <col min="3" max="3" width="21.75390625" style="84" customWidth="1"/>
    <col min="4" max="4" width="19.375" style="94" bestFit="1" customWidth="1"/>
    <col min="5" max="6" width="19.375" style="94" hidden="1" customWidth="1"/>
    <col min="7" max="7" width="16.375" style="154" customWidth="1"/>
    <col min="8" max="8" width="9.875" style="85" customWidth="1"/>
    <col min="9" max="16384" width="9.125" style="85" customWidth="1"/>
  </cols>
  <sheetData>
    <row r="1" spans="1:9" ht="20.25">
      <c r="A1" s="141"/>
      <c r="B1" s="36" t="s">
        <v>1331</v>
      </c>
      <c r="C1" s="142"/>
      <c r="D1" s="142"/>
      <c r="E1" s="142"/>
      <c r="F1" s="142"/>
      <c r="G1" s="153"/>
      <c r="H1" s="142"/>
      <c r="I1" s="142"/>
    </row>
    <row r="2" spans="2:7" s="2" customFormat="1" ht="19.5" customHeight="1">
      <c r="B2" s="6" t="s">
        <v>1328</v>
      </c>
      <c r="C2" s="39"/>
      <c r="D2" s="39"/>
      <c r="E2" s="39"/>
      <c r="G2" s="148"/>
    </row>
    <row r="3" spans="2:7" s="2" customFormat="1" ht="19.5" customHeight="1">
      <c r="B3" s="6" t="s">
        <v>109</v>
      </c>
      <c r="C3" s="39"/>
      <c r="D3" s="39"/>
      <c r="E3" s="39"/>
      <c r="G3" s="148"/>
    </row>
    <row r="4" spans="2:7" s="2" customFormat="1" ht="19.5" customHeight="1">
      <c r="B4" s="6" t="s">
        <v>1315</v>
      </c>
      <c r="C4" s="39"/>
      <c r="D4" s="39"/>
      <c r="E4" s="39"/>
      <c r="G4" s="148"/>
    </row>
    <row r="5" spans="1:7" s="2" customFormat="1" ht="19.5" customHeight="1">
      <c r="A5" s="63"/>
      <c r="B5" s="6" t="s">
        <v>520</v>
      </c>
      <c r="C5" s="39"/>
      <c r="D5" s="39"/>
      <c r="E5" s="39"/>
      <c r="G5" s="148"/>
    </row>
    <row r="6" spans="1:7" s="2" customFormat="1" ht="19.5" customHeight="1">
      <c r="A6" s="63"/>
      <c r="B6" s="6" t="s">
        <v>1318</v>
      </c>
      <c r="C6" s="39"/>
      <c r="D6" s="39"/>
      <c r="E6" s="39"/>
      <c r="G6" s="148"/>
    </row>
    <row r="7" spans="1:7" s="2" customFormat="1" ht="19.5" customHeight="1">
      <c r="A7" s="63"/>
      <c r="B7" s="6" t="s">
        <v>1316</v>
      </c>
      <c r="C7" s="39"/>
      <c r="D7" s="39"/>
      <c r="E7" s="39"/>
      <c r="G7" s="148"/>
    </row>
    <row r="8" spans="1:7" s="2" customFormat="1" ht="19.5" customHeight="1">
      <c r="A8" s="63"/>
      <c r="B8" s="6" t="s">
        <v>989</v>
      </c>
      <c r="C8" s="39"/>
      <c r="D8" s="39"/>
      <c r="E8" s="39"/>
      <c r="G8" s="148"/>
    </row>
    <row r="9" spans="2:7" s="2" customFormat="1" ht="19.5" customHeight="1">
      <c r="B9" s="6" t="s">
        <v>1319</v>
      </c>
      <c r="C9" s="6"/>
      <c r="D9" s="6"/>
      <c r="E9" s="6"/>
      <c r="G9" s="148"/>
    </row>
    <row r="10" spans="2:7" s="2" customFormat="1" ht="19.5" customHeight="1">
      <c r="B10" s="82" t="s">
        <v>1347</v>
      </c>
      <c r="C10" s="39"/>
      <c r="D10" s="39"/>
      <c r="E10" s="39"/>
      <c r="G10" s="148"/>
    </row>
    <row r="11" spans="2:6" ht="20.25">
      <c r="B11" s="86"/>
      <c r="C11" s="82"/>
      <c r="D11" s="82"/>
      <c r="E11" s="82"/>
      <c r="F11" s="82"/>
    </row>
    <row r="12" spans="1:6" ht="49.5" customHeight="1">
      <c r="A12" s="263" t="s">
        <v>990</v>
      </c>
      <c r="B12" s="263"/>
      <c r="C12" s="263"/>
      <c r="D12" s="263"/>
      <c r="E12" s="85"/>
      <c r="F12" s="85"/>
    </row>
    <row r="13" spans="2:6" ht="20.25">
      <c r="B13" s="89" t="s">
        <v>22</v>
      </c>
      <c r="C13" s="90"/>
      <c r="E13" s="92"/>
      <c r="F13" s="92" t="s">
        <v>474</v>
      </c>
    </row>
    <row r="14" spans="1:9" ht="39">
      <c r="A14" s="119" t="s">
        <v>23</v>
      </c>
      <c r="B14" s="119" t="s">
        <v>24</v>
      </c>
      <c r="C14" s="119" t="s">
        <v>25</v>
      </c>
      <c r="D14" s="120" t="s">
        <v>505</v>
      </c>
      <c r="E14" s="120" t="s">
        <v>529</v>
      </c>
      <c r="F14" s="120" t="s">
        <v>988</v>
      </c>
      <c r="I14" s="87"/>
    </row>
    <row r="15" spans="1:8" ht="20.25">
      <c r="A15" s="55" t="s">
        <v>45</v>
      </c>
      <c r="B15" s="21" t="s">
        <v>9</v>
      </c>
      <c r="C15" s="21"/>
      <c r="D15" s="52">
        <f>D16+D17+D18+D19+D20+D21+D22</f>
        <v>72919321.1</v>
      </c>
      <c r="E15" s="52">
        <f>E16+E17+E18+E19+E20+E21+E22</f>
        <v>68651177</v>
      </c>
      <c r="F15" s="52">
        <f>F16+F17+F18+F19+F20+F21+F22</f>
        <v>68715177</v>
      </c>
      <c r="H15" s="113"/>
    </row>
    <row r="16" spans="1:9" ht="33">
      <c r="A16" s="41" t="s">
        <v>31</v>
      </c>
      <c r="B16" s="19" t="s">
        <v>9</v>
      </c>
      <c r="C16" s="18" t="s">
        <v>14</v>
      </c>
      <c r="D16" s="42">
        <f>'Вед. 2020'!G50</f>
        <v>2000100</v>
      </c>
      <c r="E16" s="42">
        <f>'Вед. 2020'!H50</f>
        <v>2000100</v>
      </c>
      <c r="F16" s="42">
        <f>'Вед. 2020'!I50</f>
        <v>2000100</v>
      </c>
      <c r="H16" s="113"/>
      <c r="I16" s="87"/>
    </row>
    <row r="17" spans="1:8" ht="49.5">
      <c r="A17" s="41" t="s">
        <v>111</v>
      </c>
      <c r="B17" s="19" t="s">
        <v>9</v>
      </c>
      <c r="C17" s="18" t="s">
        <v>18</v>
      </c>
      <c r="D17" s="42">
        <f>'Вед. 2020'!G20</f>
        <v>4462000</v>
      </c>
      <c r="E17" s="42">
        <f>'Вед. 2020'!H20</f>
        <v>4430000</v>
      </c>
      <c r="F17" s="42">
        <f>'Вед. 2020'!I20</f>
        <v>4430000</v>
      </c>
      <c r="H17" s="113"/>
    </row>
    <row r="18" spans="1:8" ht="49.5">
      <c r="A18" s="41" t="s">
        <v>69</v>
      </c>
      <c r="B18" s="19" t="s">
        <v>9</v>
      </c>
      <c r="C18" s="19" t="s">
        <v>12</v>
      </c>
      <c r="D18" s="42">
        <f>'Вед. 2020'!G55+'Вед. 2020'!G586</f>
        <v>26584600</v>
      </c>
      <c r="E18" s="42">
        <f>'Вед. 2020'!H55+'Вед. 2020'!H586</f>
        <v>26641400</v>
      </c>
      <c r="F18" s="42">
        <f>'Вед. 2020'!I55+'Вед. 2020'!I586</f>
        <v>26705400</v>
      </c>
      <c r="H18" s="113"/>
    </row>
    <row r="19" spans="1:8" ht="33">
      <c r="A19" s="41" t="s">
        <v>56</v>
      </c>
      <c r="B19" s="19" t="s">
        <v>9</v>
      </c>
      <c r="C19" s="19" t="s">
        <v>15</v>
      </c>
      <c r="D19" s="42">
        <f>'Вед. 2020'!G29+'Вед. 2020'!G591</f>
        <v>12184950</v>
      </c>
      <c r="E19" s="42">
        <f>'Вед. 2020'!H29+'Вед. 2020'!H591</f>
        <v>12184950</v>
      </c>
      <c r="F19" s="42">
        <f>'Вед. 2020'!I29+'Вед. 2020'!I591</f>
        <v>12184950</v>
      </c>
      <c r="H19" s="113"/>
    </row>
    <row r="20" spans="1:8" ht="20.25">
      <c r="A20" s="97" t="s">
        <v>38</v>
      </c>
      <c r="B20" s="19" t="s">
        <v>9</v>
      </c>
      <c r="C20" s="19" t="s">
        <v>8</v>
      </c>
      <c r="D20" s="42">
        <f>'Вед. 2020'!G72</f>
        <v>2931300.1</v>
      </c>
      <c r="E20" s="42">
        <f>'Вед. 2020'!H72</f>
        <v>0</v>
      </c>
      <c r="F20" s="42">
        <f>'Вед. 2020'!I72</f>
        <v>0</v>
      </c>
      <c r="H20" s="113"/>
    </row>
    <row r="21" spans="1:8" s="98" customFormat="1" ht="20.25">
      <c r="A21" s="40" t="s">
        <v>106</v>
      </c>
      <c r="B21" s="17" t="s">
        <v>9</v>
      </c>
      <c r="C21" s="17" t="s">
        <v>17</v>
      </c>
      <c r="D21" s="43">
        <f>'Вед. 2020'!G79</f>
        <v>300000</v>
      </c>
      <c r="E21" s="43">
        <f>'Вед. 2020'!H79</f>
        <v>300000</v>
      </c>
      <c r="F21" s="43">
        <f>'Вед. 2020'!I79</f>
        <v>300000</v>
      </c>
      <c r="G21" s="154"/>
      <c r="H21" s="113"/>
    </row>
    <row r="22" spans="1:8" ht="20.25">
      <c r="A22" s="41" t="s">
        <v>46</v>
      </c>
      <c r="B22" s="19" t="s">
        <v>9</v>
      </c>
      <c r="C22" s="19" t="s">
        <v>19</v>
      </c>
      <c r="D22" s="42">
        <f>'Вед. 2020'!G41+'Вед. 2020'!G84+'Вед. 2020'!G478+'Вед. 2020'!G688+'Вед. 2020'!G598</f>
        <v>24456371</v>
      </c>
      <c r="E22" s="42">
        <f>'Вед. 2020'!H84+'Вед. 2020'!H478+'Вед. 2020'!H688</f>
        <v>23094727</v>
      </c>
      <c r="F22" s="42">
        <f>'Вед. 2020'!I84+'Вед. 2020'!I478+'Вед. 2020'!I688</f>
        <v>23094727</v>
      </c>
      <c r="H22" s="113"/>
    </row>
    <row r="23" spans="1:12" ht="20.25">
      <c r="A23" s="55" t="s">
        <v>36</v>
      </c>
      <c r="B23" s="21" t="s">
        <v>18</v>
      </c>
      <c r="C23" s="21"/>
      <c r="D23" s="52">
        <f>D24+D25+D26</f>
        <v>629737</v>
      </c>
      <c r="E23" s="52">
        <f>E24+E25+E26</f>
        <v>783273</v>
      </c>
      <c r="F23" s="52">
        <f>F24+F25+F26</f>
        <v>783273</v>
      </c>
      <c r="H23" s="113"/>
      <c r="L23" s="150" t="s">
        <v>531</v>
      </c>
    </row>
    <row r="24" spans="1:8" ht="20.25">
      <c r="A24" s="41" t="s">
        <v>37</v>
      </c>
      <c r="B24" s="19" t="s">
        <v>18</v>
      </c>
      <c r="C24" s="19" t="s">
        <v>14</v>
      </c>
      <c r="D24" s="42">
        <f>'Вед. 2020'!G119</f>
        <v>16000</v>
      </c>
      <c r="E24" s="42">
        <f>'Вед. 2020'!H119</f>
        <v>16000</v>
      </c>
      <c r="F24" s="42">
        <f>'Вед. 2020'!I119</f>
        <v>16000</v>
      </c>
      <c r="H24" s="113"/>
    </row>
    <row r="25" spans="1:8" ht="33">
      <c r="A25" s="41" t="s">
        <v>70</v>
      </c>
      <c r="B25" s="19" t="s">
        <v>18</v>
      </c>
      <c r="C25" s="19" t="s">
        <v>10</v>
      </c>
      <c r="D25" s="42">
        <f>'Вед. 2020'!G126+'Вед. 2020'!G604</f>
        <v>613737</v>
      </c>
      <c r="E25" s="42">
        <f>'Вед. 2020'!H126+'Вед. 2020'!H604</f>
        <v>767273</v>
      </c>
      <c r="F25" s="42">
        <f>'Вед. 2020'!I126+'Вед. 2020'!I604</f>
        <v>767273</v>
      </c>
      <c r="H25" s="113"/>
    </row>
    <row r="26" spans="1:8" ht="20.25" hidden="1">
      <c r="A26" s="41" t="s">
        <v>77</v>
      </c>
      <c r="B26" s="19" t="s">
        <v>18</v>
      </c>
      <c r="C26" s="19" t="s">
        <v>16</v>
      </c>
      <c r="D26" s="42"/>
      <c r="E26" s="42"/>
      <c r="F26" s="42"/>
      <c r="H26" s="113"/>
    </row>
    <row r="27" spans="1:8" s="128" customFormat="1" ht="20.25">
      <c r="A27" s="55" t="s">
        <v>47</v>
      </c>
      <c r="B27" s="21" t="s">
        <v>12</v>
      </c>
      <c r="C27" s="21"/>
      <c r="D27" s="52">
        <f>D28+D29+D30+D31+D32</f>
        <v>35268560</v>
      </c>
      <c r="E27" s="52">
        <f>E28+E29+E30+E31+E32</f>
        <v>35482055</v>
      </c>
      <c r="F27" s="52">
        <f>F28+F29+F30+F31+F32</f>
        <v>35226560</v>
      </c>
      <c r="G27" s="155"/>
      <c r="H27" s="127"/>
    </row>
    <row r="28" spans="1:8" ht="20.25">
      <c r="A28" s="41" t="s">
        <v>52</v>
      </c>
      <c r="B28" s="19" t="s">
        <v>12</v>
      </c>
      <c r="C28" s="19" t="s">
        <v>9</v>
      </c>
      <c r="D28" s="42">
        <f>'Вед. 2020'!G735</f>
        <v>7746760</v>
      </c>
      <c r="E28" s="42">
        <f>'Вед. 2020'!H735</f>
        <v>7746760</v>
      </c>
      <c r="F28" s="42">
        <f>'Вед. 2020'!I735</f>
        <v>7746760</v>
      </c>
      <c r="H28" s="113"/>
    </row>
    <row r="29" spans="1:8" ht="20.25">
      <c r="A29" s="41" t="s">
        <v>48</v>
      </c>
      <c r="B29" s="18" t="s">
        <v>12</v>
      </c>
      <c r="C29" s="18" t="s">
        <v>13</v>
      </c>
      <c r="D29" s="43">
        <f>'Вед. 2020'!G744</f>
        <v>3557000</v>
      </c>
      <c r="E29" s="43">
        <f>'Вед. 2020'!H744</f>
        <v>3557000</v>
      </c>
      <c r="F29" s="43">
        <f>'Вед. 2020'!I744</f>
        <v>3557000</v>
      </c>
      <c r="H29" s="113"/>
    </row>
    <row r="30" spans="1:8" ht="20.25">
      <c r="A30" s="41" t="s">
        <v>4</v>
      </c>
      <c r="B30" s="18" t="s">
        <v>12</v>
      </c>
      <c r="C30" s="18" t="s">
        <v>11</v>
      </c>
      <c r="D30" s="43">
        <f>'Вед. 2020'!G486</f>
        <v>100000</v>
      </c>
      <c r="E30" s="43">
        <f>'Вед. 2020'!H486</f>
        <v>349495</v>
      </c>
      <c r="F30" s="43">
        <f>'Вед. 2020'!I486</f>
        <v>100000</v>
      </c>
      <c r="H30" s="113"/>
    </row>
    <row r="31" spans="1:8" ht="20.25">
      <c r="A31" s="41" t="s">
        <v>65</v>
      </c>
      <c r="B31" s="18" t="s">
        <v>12</v>
      </c>
      <c r="C31" s="18" t="s">
        <v>10</v>
      </c>
      <c r="D31" s="42">
        <f>'Вед. 2020'!G492</f>
        <v>21645800</v>
      </c>
      <c r="E31" s="42">
        <f>'Вед. 2020'!H492</f>
        <v>21645800</v>
      </c>
      <c r="F31" s="42">
        <f>'Вед. 2020'!I492</f>
        <v>21645800</v>
      </c>
      <c r="H31" s="113"/>
    </row>
    <row r="32" spans="1:8" ht="20.25">
      <c r="A32" s="41" t="s">
        <v>20</v>
      </c>
      <c r="B32" s="18" t="s">
        <v>12</v>
      </c>
      <c r="C32" s="18" t="s">
        <v>35</v>
      </c>
      <c r="D32" s="43">
        <f>'Вед. 2020'!G136+'Вед. 2020'!G612+'Вед. 2020'!G710+'Вед. 2020'!G759</f>
        <v>2219000</v>
      </c>
      <c r="E32" s="43">
        <f>'Вед. 2020'!H136+'Вед. 2020'!H612+'Вед. 2020'!H710+'Вед. 2020'!H759</f>
        <v>2183000</v>
      </c>
      <c r="F32" s="43">
        <f>'Вед. 2020'!I136+'Вед. 2020'!I612+'Вед. 2020'!I710+'Вед. 2020'!I759</f>
        <v>2177000</v>
      </c>
      <c r="H32" s="113"/>
    </row>
    <row r="33" spans="1:8" s="128" customFormat="1" ht="20.25">
      <c r="A33" s="55" t="s">
        <v>49</v>
      </c>
      <c r="B33" s="21" t="s">
        <v>13</v>
      </c>
      <c r="C33" s="21"/>
      <c r="D33" s="52">
        <f>D34+D35+D36+D37</f>
        <v>13261900</v>
      </c>
      <c r="E33" s="52">
        <f>E34+E35+E36+E37</f>
        <v>13549900</v>
      </c>
      <c r="F33" s="52">
        <f>F34+F35+F36+F37</f>
        <v>13518950</v>
      </c>
      <c r="G33" s="155"/>
      <c r="H33" s="127"/>
    </row>
    <row r="34" spans="1:8" ht="20.25" hidden="1">
      <c r="A34" s="41" t="s">
        <v>50</v>
      </c>
      <c r="B34" s="19" t="s">
        <v>13</v>
      </c>
      <c r="C34" s="18" t="s">
        <v>9</v>
      </c>
      <c r="D34" s="42"/>
      <c r="E34" s="42"/>
      <c r="F34" s="42"/>
      <c r="H34" s="113"/>
    </row>
    <row r="35" spans="1:8" ht="20.25">
      <c r="A35" s="41" t="s">
        <v>51</v>
      </c>
      <c r="B35" s="19" t="s">
        <v>13</v>
      </c>
      <c r="C35" s="19" t="s">
        <v>14</v>
      </c>
      <c r="D35" s="43">
        <f>'Вед. 2020'!G499+'Вед. 2020'!G623</f>
        <v>4437000</v>
      </c>
      <c r="E35" s="43">
        <f>'Вед. 2020'!H499+'Вед. 2020'!H623</f>
        <v>4725000</v>
      </c>
      <c r="F35" s="43">
        <f>'Вед. 2020'!I499+'Вед. 2020'!I623</f>
        <v>4696000</v>
      </c>
      <c r="H35" s="113"/>
    </row>
    <row r="36" spans="1:8" ht="20.25">
      <c r="A36" s="41" t="s">
        <v>29</v>
      </c>
      <c r="B36" s="18" t="s">
        <v>13</v>
      </c>
      <c r="C36" s="18" t="s">
        <v>18</v>
      </c>
      <c r="D36" s="43">
        <f>'Вед. 2020'!G639</f>
        <v>30000</v>
      </c>
      <c r="E36" s="43">
        <f>'Вед. 2020'!H639</f>
        <v>30000</v>
      </c>
      <c r="F36" s="43">
        <f>'Вед. 2020'!I639</f>
        <v>30000</v>
      </c>
      <c r="H36" s="113"/>
    </row>
    <row r="37" spans="1:8" ht="20.25">
      <c r="A37" s="41" t="s">
        <v>516</v>
      </c>
      <c r="B37" s="18" t="s">
        <v>13</v>
      </c>
      <c r="C37" s="18" t="s">
        <v>13</v>
      </c>
      <c r="D37" s="43">
        <f>'Вед. 2020'!G507</f>
        <v>8794900</v>
      </c>
      <c r="E37" s="43">
        <f>'Вед. 2020'!H507</f>
        <v>8794900</v>
      </c>
      <c r="F37" s="43">
        <f>'Вед. 2020'!I507</f>
        <v>8792950</v>
      </c>
      <c r="H37" s="113"/>
    </row>
    <row r="38" spans="1:8" s="128" customFormat="1" ht="20.25">
      <c r="A38" s="55" t="s">
        <v>28</v>
      </c>
      <c r="B38" s="21" t="s">
        <v>8</v>
      </c>
      <c r="C38" s="21"/>
      <c r="D38" s="52">
        <f>D39+D40+D42+D43+D44+D41</f>
        <v>1038362456</v>
      </c>
      <c r="E38" s="52">
        <f>E39+E40+E42+E43+E44+E41</f>
        <v>755623642</v>
      </c>
      <c r="F38" s="52">
        <f>F39+F40+F42+F43+F44+F41</f>
        <v>793418007</v>
      </c>
      <c r="G38" s="155"/>
      <c r="H38" s="127"/>
    </row>
    <row r="39" spans="1:8" ht="20.25">
      <c r="A39" s="103" t="s">
        <v>6</v>
      </c>
      <c r="B39" s="19" t="s">
        <v>8</v>
      </c>
      <c r="C39" s="18" t="s">
        <v>9</v>
      </c>
      <c r="D39" s="42">
        <f>'Вед. 2020'!G176+'Вед. 2020'!G516</f>
        <v>192152558.31</v>
      </c>
      <c r="E39" s="42">
        <f>'Вед. 2020'!H176+'Вед. 2020'!H516</f>
        <v>131402199.99999999</v>
      </c>
      <c r="F39" s="42">
        <f>'Вед. 2020'!I176+'Вед. 2020'!I516</f>
        <v>142260200</v>
      </c>
      <c r="H39" s="113"/>
    </row>
    <row r="40" spans="1:8" ht="20.25">
      <c r="A40" s="41" t="s">
        <v>2</v>
      </c>
      <c r="B40" s="19" t="s">
        <v>8</v>
      </c>
      <c r="C40" s="19" t="s">
        <v>14</v>
      </c>
      <c r="D40" s="42">
        <f>'Вед. 2020'!G194+'Вед. 2020'!G529</f>
        <v>743767613.69</v>
      </c>
      <c r="E40" s="42">
        <f>'Вед. 2020'!H194+'Вед. 2020'!H529</f>
        <v>523770478</v>
      </c>
      <c r="F40" s="42">
        <f>'Вед. 2020'!I194+'Вед. 2020'!I529</f>
        <v>555216293</v>
      </c>
      <c r="H40" s="113"/>
    </row>
    <row r="41" spans="1:8" ht="20.25">
      <c r="A41" s="41" t="s">
        <v>525</v>
      </c>
      <c r="B41" s="19" t="s">
        <v>8</v>
      </c>
      <c r="C41" s="18" t="s">
        <v>18</v>
      </c>
      <c r="D41" s="70">
        <f>'Вед. 2020'!G241+'Вед. 2020'!G326</f>
        <v>62895984</v>
      </c>
      <c r="E41" s="70">
        <f>'Вед. 2020'!H241+'Вед. 2020'!H326</f>
        <v>61663464</v>
      </c>
      <c r="F41" s="70">
        <f>'Вед. 2020'!I241+'Вед. 2020'!I326</f>
        <v>57085014</v>
      </c>
      <c r="H41" s="113"/>
    </row>
    <row r="42" spans="1:8" ht="20.25">
      <c r="A42" s="96" t="s">
        <v>118</v>
      </c>
      <c r="B42" s="18" t="s">
        <v>8</v>
      </c>
      <c r="C42" s="18" t="s">
        <v>13</v>
      </c>
      <c r="D42" s="42">
        <f>'Вед. 2020'!G43+'Вед. 2020'!G146+'Вед. 2020'!G249+'Вед. 2020'!G355+'Вед. 2020'!G549+'Вед. 2020'!G646+'Вед. 2020'!G719+'Вед. 2020'!G767</f>
        <v>128500</v>
      </c>
      <c r="E42" s="42">
        <f>'Вед. 2020'!H43+'Вед. 2020'!H146+'Вед. 2020'!H249+'Вед. 2020'!H355+'Вед. 2020'!H549+'Вед. 2020'!H646+'Вед. 2020'!H719+'Вед. 2020'!H767</f>
        <v>139100</v>
      </c>
      <c r="F42" s="42">
        <f>'Вед. 2020'!I43+'Вед. 2020'!I146+'Вед. 2020'!I249+'Вед. 2020'!I355+'Вед. 2020'!I549+'Вед. 2020'!I646+'Вед. 2020'!I719+'Вед. 2020'!I767</f>
        <v>134100</v>
      </c>
      <c r="H42" s="113"/>
    </row>
    <row r="43" spans="1:8" ht="20.25">
      <c r="A43" s="41" t="s">
        <v>53</v>
      </c>
      <c r="B43" s="19" t="s">
        <v>8</v>
      </c>
      <c r="C43" s="18" t="s">
        <v>8</v>
      </c>
      <c r="D43" s="42">
        <f>'Вед. 2020'!G258+'Вед. 2020'!G554</f>
        <v>4775500</v>
      </c>
      <c r="E43" s="42">
        <f>'Вед. 2020'!H258+'Вед. 2020'!H554</f>
        <v>3840100</v>
      </c>
      <c r="F43" s="42">
        <f>'Вед. 2020'!I258+'Вед. 2020'!I554</f>
        <v>3722100</v>
      </c>
      <c r="H43" s="113"/>
    </row>
    <row r="44" spans="1:8" ht="20.25">
      <c r="A44" s="41" t="s">
        <v>54</v>
      </c>
      <c r="B44" s="19" t="s">
        <v>8</v>
      </c>
      <c r="C44" s="18" t="s">
        <v>10</v>
      </c>
      <c r="D44" s="42">
        <f>'Вед. 2020'!G264</f>
        <v>34642300</v>
      </c>
      <c r="E44" s="42">
        <f>'Вед. 2020'!H264</f>
        <v>34808300</v>
      </c>
      <c r="F44" s="42">
        <f>'Вед. 2020'!I264</f>
        <v>35000300</v>
      </c>
      <c r="H44" s="113"/>
    </row>
    <row r="45" spans="1:8" s="128" customFormat="1" ht="20.25">
      <c r="A45" s="55" t="s">
        <v>115</v>
      </c>
      <c r="B45" s="21" t="s">
        <v>11</v>
      </c>
      <c r="C45" s="21"/>
      <c r="D45" s="52">
        <f>D46+D47</f>
        <v>75316659</v>
      </c>
      <c r="E45" s="52">
        <f>E46+E47</f>
        <v>81696059</v>
      </c>
      <c r="F45" s="52">
        <f>F46+F47</f>
        <v>74773059</v>
      </c>
      <c r="G45" s="155"/>
      <c r="H45" s="127"/>
    </row>
    <row r="46" spans="1:8" ht="20.25">
      <c r="A46" s="41" t="s">
        <v>3</v>
      </c>
      <c r="B46" s="19" t="s">
        <v>11</v>
      </c>
      <c r="C46" s="19" t="s">
        <v>9</v>
      </c>
      <c r="D46" s="42">
        <f>'Вед. 2020'!G361+'Вед. 2020'!G656</f>
        <v>55591059</v>
      </c>
      <c r="E46" s="42">
        <f>'Вед. 2020'!H361</f>
        <v>61970459</v>
      </c>
      <c r="F46" s="42">
        <f>'Вед. 2020'!I361</f>
        <v>55047459</v>
      </c>
      <c r="H46" s="113"/>
    </row>
    <row r="47" spans="1:8" ht="20.25">
      <c r="A47" s="41" t="s">
        <v>68</v>
      </c>
      <c r="B47" s="18" t="s">
        <v>11</v>
      </c>
      <c r="C47" s="18" t="s">
        <v>12</v>
      </c>
      <c r="D47" s="43">
        <f>'Вед. 2020'!G431</f>
        <v>19725600</v>
      </c>
      <c r="E47" s="43">
        <f>'Вед. 2020'!H431</f>
        <v>19725600</v>
      </c>
      <c r="F47" s="43">
        <f>'Вед. 2020'!I431</f>
        <v>19725600</v>
      </c>
      <c r="H47" s="113"/>
    </row>
    <row r="48" spans="1:8" s="128" customFormat="1" ht="20.25">
      <c r="A48" s="55" t="s">
        <v>1</v>
      </c>
      <c r="B48" s="21" t="s">
        <v>16</v>
      </c>
      <c r="C48" s="21"/>
      <c r="D48" s="52">
        <f>D49+D50+D51+D52</f>
        <v>73631549.53999999</v>
      </c>
      <c r="E48" s="52">
        <f>E49+E50+E51+E52</f>
        <v>72220900</v>
      </c>
      <c r="F48" s="52">
        <f>F49+F50+F51+F52</f>
        <v>71224800</v>
      </c>
      <c r="G48" s="155"/>
      <c r="H48" s="127"/>
    </row>
    <row r="49" spans="1:8" s="99" customFormat="1" ht="20.25">
      <c r="A49" s="40" t="s">
        <v>44</v>
      </c>
      <c r="B49" s="19" t="s">
        <v>16</v>
      </c>
      <c r="C49" s="18" t="s">
        <v>9</v>
      </c>
      <c r="D49" s="42">
        <f>'Вед. 2020'!G154</f>
        <v>5176500</v>
      </c>
      <c r="E49" s="42">
        <f>'Вед. 2020'!H154</f>
        <v>5180000</v>
      </c>
      <c r="F49" s="42">
        <f>'Вед. 2020'!I154</f>
        <v>5180000</v>
      </c>
      <c r="G49" s="154"/>
      <c r="H49" s="113"/>
    </row>
    <row r="50" spans="1:8" ht="20.25">
      <c r="A50" s="41" t="s">
        <v>63</v>
      </c>
      <c r="B50" s="18" t="s">
        <v>16</v>
      </c>
      <c r="C50" s="18" t="s">
        <v>18</v>
      </c>
      <c r="D50" s="43">
        <f>'Вед. 2020'!G160+'Вед. 2020'!G455+'Вед. 2020'!G773+'Вед. 2020'!G663+'Вед. 2020'!G565</f>
        <v>6069049.54</v>
      </c>
      <c r="E50" s="43">
        <f>'Вед. 2020'!H160+'Вед. 2020'!H455+'Вед. 2020'!H773+'Вед. 2020'!H663+'Вед. 2020'!H565</f>
        <v>5058900</v>
      </c>
      <c r="F50" s="43">
        <f>'Вед. 2020'!I160+'Вед. 2020'!I455+'Вед. 2020'!I773+'Вед. 2020'!I663+'Вед. 2020'!I565</f>
        <v>3218800</v>
      </c>
      <c r="H50" s="113"/>
    </row>
    <row r="51" spans="1:8" ht="20.25">
      <c r="A51" s="41" t="s">
        <v>41</v>
      </c>
      <c r="B51" s="18" t="s">
        <v>16</v>
      </c>
      <c r="C51" s="18" t="s">
        <v>12</v>
      </c>
      <c r="D51" s="42">
        <f>'Вед. 2020'!G311+'Вед. 2020'!G725</f>
        <v>62386000</v>
      </c>
      <c r="E51" s="42">
        <f>'Вед. 2020'!H311+'Вед. 2020'!H725</f>
        <v>61982000</v>
      </c>
      <c r="F51" s="42">
        <f>'Вед. 2020'!I311+'Вед. 2020'!I725</f>
        <v>62826000</v>
      </c>
      <c r="H51" s="113"/>
    </row>
    <row r="52" spans="1:8" ht="20.25" hidden="1">
      <c r="A52" s="41" t="s">
        <v>5</v>
      </c>
      <c r="B52" s="18">
        <v>10</v>
      </c>
      <c r="C52" s="18" t="s">
        <v>15</v>
      </c>
      <c r="D52" s="42"/>
      <c r="E52" s="42"/>
      <c r="F52" s="42"/>
      <c r="H52" s="113"/>
    </row>
    <row r="53" spans="1:8" s="128" customFormat="1" ht="20.25">
      <c r="A53" s="129" t="s">
        <v>21</v>
      </c>
      <c r="B53" s="21" t="s">
        <v>17</v>
      </c>
      <c r="C53" s="21"/>
      <c r="D53" s="52">
        <f>D54</f>
        <v>3445000</v>
      </c>
      <c r="E53" s="52">
        <f>E54</f>
        <v>1270505</v>
      </c>
      <c r="F53" s="52">
        <f>F54</f>
        <v>126492000</v>
      </c>
      <c r="G53" s="155"/>
      <c r="H53" s="127"/>
    </row>
    <row r="54" spans="1:8" ht="20.25">
      <c r="A54" s="41" t="s">
        <v>73</v>
      </c>
      <c r="B54" s="18" t="s">
        <v>17</v>
      </c>
      <c r="C54" s="19" t="s">
        <v>9</v>
      </c>
      <c r="D54" s="42">
        <f>'Вед. 2020'!G465+'Вед. 2020'!G572</f>
        <v>3445000</v>
      </c>
      <c r="E54" s="42">
        <f>'Вед. 2020'!H465+'Вед. 2020'!H572</f>
        <v>1270505</v>
      </c>
      <c r="F54" s="42">
        <f>'Вед. 2020'!I465+'Вед. 2020'!I572</f>
        <v>126492000</v>
      </c>
      <c r="H54" s="113"/>
    </row>
    <row r="55" spans="1:8" s="128" customFormat="1" ht="20.25">
      <c r="A55" s="55" t="s">
        <v>66</v>
      </c>
      <c r="B55" s="21" t="s">
        <v>35</v>
      </c>
      <c r="C55" s="21"/>
      <c r="D55" s="51">
        <f>D56</f>
        <v>7044600</v>
      </c>
      <c r="E55" s="51">
        <f>E56</f>
        <v>7045000</v>
      </c>
      <c r="F55" s="51">
        <f>F56</f>
        <v>7045000</v>
      </c>
      <c r="G55" s="155"/>
      <c r="H55" s="127"/>
    </row>
    <row r="56" spans="1:8" ht="20.25">
      <c r="A56" s="46" t="s">
        <v>62</v>
      </c>
      <c r="B56" s="18" t="s">
        <v>35</v>
      </c>
      <c r="C56" s="18" t="s">
        <v>14</v>
      </c>
      <c r="D56" s="42">
        <f>'Вед. 2020'!G173</f>
        <v>7044600</v>
      </c>
      <c r="E56" s="42">
        <f>'Вед. 2020'!H173</f>
        <v>7045000</v>
      </c>
      <c r="F56" s="42">
        <f>'Вед. 2020'!I173</f>
        <v>7045000</v>
      </c>
      <c r="H56" s="113"/>
    </row>
    <row r="57" spans="1:8" s="128" customFormat="1" ht="20.25">
      <c r="A57" s="57" t="s">
        <v>80</v>
      </c>
      <c r="B57" s="21" t="s">
        <v>19</v>
      </c>
      <c r="C57" s="21"/>
      <c r="D57" s="52">
        <f>D58</f>
        <v>20000</v>
      </c>
      <c r="E57" s="52">
        <f>E58</f>
        <v>20000</v>
      </c>
      <c r="F57" s="52">
        <f>F58</f>
        <v>20000</v>
      </c>
      <c r="G57" s="155"/>
      <c r="H57" s="127"/>
    </row>
    <row r="58" spans="1:8" ht="20.25">
      <c r="A58" s="40" t="s">
        <v>81</v>
      </c>
      <c r="B58" s="18" t="s">
        <v>19</v>
      </c>
      <c r="C58" s="18" t="s">
        <v>9</v>
      </c>
      <c r="D58" s="42">
        <f>'Вед. 2020'!G670</f>
        <v>20000</v>
      </c>
      <c r="E58" s="42">
        <f>'Вед. 2020'!H670</f>
        <v>20000</v>
      </c>
      <c r="F58" s="42">
        <f>'Вед. 2020'!I670</f>
        <v>20000</v>
      </c>
      <c r="H58" s="113"/>
    </row>
    <row r="59" spans="1:8" s="128" customFormat="1" ht="33">
      <c r="A59" s="55" t="s">
        <v>114</v>
      </c>
      <c r="B59" s="21" t="s">
        <v>58</v>
      </c>
      <c r="C59" s="21"/>
      <c r="D59" s="52">
        <f>D60+D61</f>
        <v>101068000</v>
      </c>
      <c r="E59" s="52">
        <f>E60+E61</f>
        <v>75998000</v>
      </c>
      <c r="F59" s="52">
        <f>F60+F61</f>
        <v>75998000</v>
      </c>
      <c r="G59" s="155"/>
      <c r="H59" s="127"/>
    </row>
    <row r="60" spans="1:8" ht="33">
      <c r="A60" s="41" t="s">
        <v>112</v>
      </c>
      <c r="B60" s="18" t="s">
        <v>58</v>
      </c>
      <c r="C60" s="18" t="s">
        <v>9</v>
      </c>
      <c r="D60" s="42">
        <f>'Вед. 2020'!G676</f>
        <v>100586000</v>
      </c>
      <c r="E60" s="42">
        <f>'Вед. 2020'!H676</f>
        <v>75998000</v>
      </c>
      <c r="F60" s="42">
        <f>'Вед. 2020'!I676</f>
        <v>75998000</v>
      </c>
      <c r="H60" s="113"/>
    </row>
    <row r="61" spans="1:8" ht="20.25">
      <c r="A61" s="47" t="s">
        <v>113</v>
      </c>
      <c r="B61" s="18" t="s">
        <v>58</v>
      </c>
      <c r="C61" s="18" t="s">
        <v>18</v>
      </c>
      <c r="D61" s="42">
        <f>'Вед. 2020'!G681</f>
        <v>482000</v>
      </c>
      <c r="E61" s="42">
        <f>'Вед. 2020'!H681</f>
        <v>0</v>
      </c>
      <c r="F61" s="42">
        <f>'Вед. 2020'!I681</f>
        <v>0</v>
      </c>
      <c r="H61" s="113"/>
    </row>
    <row r="62" spans="1:8" ht="20.25">
      <c r="A62" s="121" t="s">
        <v>7</v>
      </c>
      <c r="B62" s="123"/>
      <c r="C62" s="123"/>
      <c r="D62" s="124">
        <f>D15+D23+D27+D33+D38+D45+D48+D53+D55+D57+D59</f>
        <v>1420967782.6399999</v>
      </c>
      <c r="E62" s="124">
        <f>E15+E23+E27+E33+E38+E45+E48+E53+E55+E57+E59</f>
        <v>1112340511</v>
      </c>
      <c r="F62" s="124">
        <f>F15+F23+F27+F33+F38+F45+F48+F53+F55+F57+F59</f>
        <v>1267214826</v>
      </c>
      <c r="H62" s="113"/>
    </row>
    <row r="63" ht="20.25">
      <c r="A63" s="66"/>
    </row>
    <row r="64" spans="1:6" ht="20.25">
      <c r="A64" s="66"/>
      <c r="D64" s="94">
        <f>'Вед. 2020'!G779-'Функц.2020'!D62</f>
        <v>0</v>
      </c>
      <c r="E64" s="94">
        <f>'Вед. 2020'!H779-'Функц.2020'!E62</f>
        <v>0</v>
      </c>
      <c r="F64" s="94">
        <f>'Вед. 2020'!I779-'Функц.2020'!F62</f>
        <v>0</v>
      </c>
    </row>
    <row r="65" ht="20.25">
      <c r="A65" s="66"/>
    </row>
  </sheetData>
  <sheetProtection/>
  <mergeCells count="1">
    <mergeCell ref="A12:D12"/>
  </mergeCells>
  <printOptions/>
  <pageMargins left="0.7874015748031497" right="0" top="0.5905511811023623" bottom="0" header="0.31496062992125984" footer="0.31496062992125984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9"/>
  <sheetViews>
    <sheetView zoomScale="80" zoomScaleNormal="80" zoomScalePageLayoutView="0" workbookViewId="0" topLeftCell="A1">
      <selection activeCell="B10" sqref="B10"/>
    </sheetView>
  </sheetViews>
  <sheetFormatPr defaultColWidth="60.125" defaultRowHeight="12.75"/>
  <cols>
    <col min="1" max="1" width="75.875" style="66" customWidth="1"/>
    <col min="2" max="2" width="27.625" style="114" customWidth="1"/>
    <col min="3" max="3" width="11.375" style="112" customWidth="1"/>
    <col min="4" max="4" width="22.625" style="115" bestFit="1" customWidth="1"/>
    <col min="5" max="6" width="22.625" style="115" hidden="1" customWidth="1"/>
    <col min="7" max="7" width="23.00390625" style="66" customWidth="1"/>
    <col min="8" max="8" width="21.625" style="66" customWidth="1"/>
    <col min="9" max="16384" width="60.125" style="66" customWidth="1"/>
  </cols>
  <sheetData>
    <row r="1" spans="1:6" ht="16.5">
      <c r="A1" s="141"/>
      <c r="B1" s="142" t="s">
        <v>1332</v>
      </c>
      <c r="C1" s="142"/>
      <c r="D1" s="142"/>
      <c r="E1" s="142"/>
      <c r="F1" s="142"/>
    </row>
    <row r="2" spans="2:5" s="2" customFormat="1" ht="19.5" customHeight="1">
      <c r="B2" s="142" t="s">
        <v>1328</v>
      </c>
      <c r="C2" s="39"/>
      <c r="D2" s="39"/>
      <c r="E2" s="39"/>
    </row>
    <row r="3" spans="2:5" s="2" customFormat="1" ht="19.5" customHeight="1">
      <c r="B3" s="142" t="s">
        <v>109</v>
      </c>
      <c r="C3" s="39"/>
      <c r="D3" s="39"/>
      <c r="E3" s="39"/>
    </row>
    <row r="4" spans="2:5" s="2" customFormat="1" ht="19.5" customHeight="1">
      <c r="B4" s="142" t="s">
        <v>1315</v>
      </c>
      <c r="C4" s="39"/>
      <c r="D4" s="39"/>
      <c r="E4" s="39"/>
    </row>
    <row r="5" spans="1:5" s="2" customFormat="1" ht="19.5" customHeight="1">
      <c r="A5" s="63"/>
      <c r="B5" s="142" t="s">
        <v>520</v>
      </c>
      <c r="C5" s="39"/>
      <c r="D5" s="39"/>
      <c r="E5" s="39"/>
    </row>
    <row r="6" spans="1:5" s="2" customFormat="1" ht="19.5" customHeight="1">
      <c r="A6" s="63"/>
      <c r="B6" s="142" t="s">
        <v>1318</v>
      </c>
      <c r="C6" s="39"/>
      <c r="D6" s="39"/>
      <c r="E6" s="39"/>
    </row>
    <row r="7" spans="1:5" s="2" customFormat="1" ht="18.75" customHeight="1">
      <c r="A7" s="63"/>
      <c r="B7" s="142" t="s">
        <v>1316</v>
      </c>
      <c r="C7" s="39"/>
      <c r="D7" s="39"/>
      <c r="E7" s="39"/>
    </row>
    <row r="8" spans="1:5" s="2" customFormat="1" ht="18.75">
      <c r="A8" s="63"/>
      <c r="B8" s="142" t="s">
        <v>991</v>
      </c>
      <c r="C8" s="39"/>
      <c r="D8" s="39"/>
      <c r="E8" s="39"/>
    </row>
    <row r="9" spans="2:5" s="2" customFormat="1" ht="19.5" customHeight="1">
      <c r="B9" s="142" t="s">
        <v>1321</v>
      </c>
      <c r="C9" s="6"/>
      <c r="D9" s="6"/>
      <c r="E9" s="6"/>
    </row>
    <row r="10" spans="1:5" s="2" customFormat="1" ht="18.75">
      <c r="A10" s="63"/>
      <c r="B10" s="82" t="s">
        <v>1347</v>
      </c>
      <c r="C10" s="39"/>
      <c r="D10" s="39"/>
      <c r="E10" s="39"/>
    </row>
    <row r="12" spans="1:6" ht="16.5">
      <c r="A12" s="264" t="s">
        <v>250</v>
      </c>
      <c r="B12" s="264"/>
      <c r="C12" s="264"/>
      <c r="D12" s="264"/>
      <c r="E12" s="66"/>
      <c r="F12" s="66"/>
    </row>
    <row r="13" spans="1:6" ht="16.5">
      <c r="A13" s="264" t="s">
        <v>251</v>
      </c>
      <c r="B13" s="264"/>
      <c r="C13" s="264"/>
      <c r="D13" s="264"/>
      <c r="E13" s="66"/>
      <c r="F13" s="66"/>
    </row>
    <row r="14" spans="1:6" ht="16.5">
      <c r="A14" s="264" t="s">
        <v>249</v>
      </c>
      <c r="B14" s="264"/>
      <c r="C14" s="264"/>
      <c r="D14" s="264"/>
      <c r="E14" s="66"/>
      <c r="F14" s="66"/>
    </row>
    <row r="15" spans="1:6" ht="16.5">
      <c r="A15" s="264" t="s">
        <v>994</v>
      </c>
      <c r="B15" s="264"/>
      <c r="C15" s="264"/>
      <c r="D15" s="264"/>
      <c r="E15" s="66"/>
      <c r="F15" s="66"/>
    </row>
    <row r="17" spans="4:6" ht="19.5">
      <c r="D17" s="92"/>
      <c r="E17" s="92"/>
      <c r="F17" s="92" t="s">
        <v>474</v>
      </c>
    </row>
    <row r="18" spans="1:6" ht="22.5" customHeight="1">
      <c r="A18" s="130" t="s">
        <v>23</v>
      </c>
      <c r="B18" s="131" t="s">
        <v>26</v>
      </c>
      <c r="C18" s="130" t="s">
        <v>27</v>
      </c>
      <c r="D18" s="132" t="s">
        <v>504</v>
      </c>
      <c r="E18" s="132" t="s">
        <v>528</v>
      </c>
      <c r="F18" s="132" t="s">
        <v>528</v>
      </c>
    </row>
    <row r="19" spans="1:6" ht="16.5">
      <c r="A19" s="133" t="s">
        <v>240</v>
      </c>
      <c r="B19" s="134"/>
      <c r="C19" s="135"/>
      <c r="D19" s="136">
        <f>D20+D44+D48+D134+D147+D208+D231+D293+D298+D319+D329+D379+D411+D274+D340+D388+D392</f>
        <v>1374644426.54</v>
      </c>
      <c r="E19" s="136">
        <f>E20+E44+E48+E134+E147+E208+E231+E293+E298+E319+E329+E379+E411+E274+E340+E388+E392</f>
        <v>1069728511</v>
      </c>
      <c r="F19" s="136">
        <f>F20+F44+F48+F134+F147+F208+F231+F293+F298+F319+F329+F379+F411+F274+F340+F388+F392</f>
        <v>1224602826</v>
      </c>
    </row>
    <row r="20" spans="1:6" ht="33">
      <c r="A20" s="41" t="s">
        <v>1204</v>
      </c>
      <c r="B20" s="117" t="s">
        <v>231</v>
      </c>
      <c r="C20" s="60"/>
      <c r="D20" s="116">
        <f>D21+D37</f>
        <v>10692509.54</v>
      </c>
      <c r="E20" s="116">
        <f>E21+E37</f>
        <v>9724760</v>
      </c>
      <c r="F20" s="116">
        <f>F21+F37</f>
        <v>8903760</v>
      </c>
    </row>
    <row r="21" spans="1:6" ht="49.5">
      <c r="A21" s="41" t="s">
        <v>515</v>
      </c>
      <c r="B21" s="58" t="s">
        <v>232</v>
      </c>
      <c r="C21" s="60"/>
      <c r="D21" s="116">
        <f>D22+D25+D31</f>
        <v>8903760</v>
      </c>
      <c r="E21" s="116">
        <f>E22+E25+E31</f>
        <v>8903760</v>
      </c>
      <c r="F21" s="116">
        <f>F22+F25+F31</f>
        <v>8903760</v>
      </c>
    </row>
    <row r="22" spans="1:6" ht="33">
      <c r="A22" s="40" t="s">
        <v>426</v>
      </c>
      <c r="B22" s="58" t="s">
        <v>260</v>
      </c>
      <c r="C22" s="60"/>
      <c r="D22" s="116">
        <f aca="true" t="shared" si="0" ref="D22:F23">D23</f>
        <v>150000</v>
      </c>
      <c r="E22" s="116">
        <f t="shared" si="0"/>
        <v>150000</v>
      </c>
      <c r="F22" s="116">
        <f t="shared" si="0"/>
        <v>150000</v>
      </c>
    </row>
    <row r="23" spans="1:6" ht="16.5">
      <c r="A23" s="40" t="s">
        <v>191</v>
      </c>
      <c r="B23" s="58" t="s">
        <v>427</v>
      </c>
      <c r="C23" s="60"/>
      <c r="D23" s="116">
        <f t="shared" si="0"/>
        <v>150000</v>
      </c>
      <c r="E23" s="116">
        <f t="shared" si="0"/>
        <v>150000</v>
      </c>
      <c r="F23" s="116">
        <f t="shared" si="0"/>
        <v>150000</v>
      </c>
    </row>
    <row r="24" spans="1:6" ht="16.5">
      <c r="A24" s="41" t="s">
        <v>503</v>
      </c>
      <c r="B24" s="58" t="s">
        <v>427</v>
      </c>
      <c r="C24" s="60">
        <v>350</v>
      </c>
      <c r="D24" s="116">
        <f>'Вед. 2020'!G750</f>
        <v>150000</v>
      </c>
      <c r="E24" s="116">
        <f>'Вед. 2020'!H750</f>
        <v>150000</v>
      </c>
      <c r="F24" s="116">
        <f>'Вед. 2020'!I750</f>
        <v>150000</v>
      </c>
    </row>
    <row r="25" spans="1:6" ht="16.5">
      <c r="A25" s="41" t="s">
        <v>177</v>
      </c>
      <c r="B25" s="58" t="s">
        <v>428</v>
      </c>
      <c r="C25" s="60"/>
      <c r="D25" s="116">
        <f>D26</f>
        <v>7746760</v>
      </c>
      <c r="E25" s="116">
        <f>E26</f>
        <v>7746760</v>
      </c>
      <c r="F25" s="116">
        <f>F26</f>
        <v>7746760</v>
      </c>
    </row>
    <row r="26" spans="1:6" ht="16.5">
      <c r="A26" s="41" t="s">
        <v>129</v>
      </c>
      <c r="B26" s="58" t="s">
        <v>429</v>
      </c>
      <c r="C26" s="60"/>
      <c r="D26" s="70">
        <f>D27+D28+D30+D29</f>
        <v>7746760</v>
      </c>
      <c r="E26" s="70">
        <f>E27+E28+E30+E29</f>
        <v>7746760</v>
      </c>
      <c r="F26" s="70">
        <f>F27+F28+F30+F29</f>
        <v>7746760</v>
      </c>
    </row>
    <row r="27" spans="1:6" ht="33">
      <c r="A27" s="41" t="s">
        <v>127</v>
      </c>
      <c r="B27" s="58" t="s">
        <v>429</v>
      </c>
      <c r="C27" s="60">
        <v>120</v>
      </c>
      <c r="D27" s="116">
        <f>'Вед. 2020'!G740</f>
        <v>5820900</v>
      </c>
      <c r="E27" s="116">
        <f>'Вед. 2020'!H740</f>
        <v>5820900</v>
      </c>
      <c r="F27" s="116">
        <f>'Вед. 2020'!I740</f>
        <v>5820900</v>
      </c>
    </row>
    <row r="28" spans="1:6" ht="33">
      <c r="A28" s="41" t="s">
        <v>130</v>
      </c>
      <c r="B28" s="58" t="s">
        <v>429</v>
      </c>
      <c r="C28" s="60">
        <v>240</v>
      </c>
      <c r="D28" s="116">
        <f>'Вед. 2020'!G741</f>
        <v>1853860</v>
      </c>
      <c r="E28" s="116">
        <f>'Вед. 2020'!H741</f>
        <v>1853860</v>
      </c>
      <c r="F28" s="116">
        <f>'Вед. 2020'!I741</f>
        <v>1853860</v>
      </c>
    </row>
    <row r="29" spans="1:6" ht="16.5">
      <c r="A29" s="95" t="s">
        <v>194</v>
      </c>
      <c r="B29" s="18" t="s">
        <v>429</v>
      </c>
      <c r="C29" s="59">
        <v>830</v>
      </c>
      <c r="D29" s="116">
        <f>'Вед. 2020'!G742</f>
        <v>15000</v>
      </c>
      <c r="E29" s="116">
        <f>'Вед. 2020'!H742</f>
        <v>15000</v>
      </c>
      <c r="F29" s="116">
        <f>'Вед. 2020'!I742</f>
        <v>15000</v>
      </c>
    </row>
    <row r="30" spans="1:6" ht="16.5">
      <c r="A30" s="41" t="s">
        <v>132</v>
      </c>
      <c r="B30" s="58" t="s">
        <v>429</v>
      </c>
      <c r="C30" s="60">
        <v>850</v>
      </c>
      <c r="D30" s="116">
        <f>'Вед. 2020'!G743</f>
        <v>57000</v>
      </c>
      <c r="E30" s="116">
        <f>'Вед. 2020'!H743</f>
        <v>57000</v>
      </c>
      <c r="F30" s="116">
        <f>'Вед. 2020'!I743</f>
        <v>57000</v>
      </c>
    </row>
    <row r="31" spans="1:6" ht="16.5">
      <c r="A31" s="41" t="s">
        <v>282</v>
      </c>
      <c r="B31" s="58" t="s">
        <v>430</v>
      </c>
      <c r="C31" s="60"/>
      <c r="D31" s="116">
        <f>D34+D32</f>
        <v>1007000</v>
      </c>
      <c r="E31" s="116">
        <f>E34+E32</f>
        <v>1007000</v>
      </c>
      <c r="F31" s="116">
        <f>F34+F32</f>
        <v>1007000</v>
      </c>
    </row>
    <row r="32" spans="1:6" ht="16.5">
      <c r="A32" s="41" t="s">
        <v>283</v>
      </c>
      <c r="B32" s="58" t="s">
        <v>431</v>
      </c>
      <c r="C32" s="60"/>
      <c r="D32" s="116">
        <f>D33</f>
        <v>195000</v>
      </c>
      <c r="E32" s="116">
        <f>E33</f>
        <v>195000</v>
      </c>
      <c r="F32" s="116">
        <f>F33</f>
        <v>195000</v>
      </c>
    </row>
    <row r="33" spans="1:6" ht="33">
      <c r="A33" s="41" t="s">
        <v>130</v>
      </c>
      <c r="B33" s="58" t="s">
        <v>431</v>
      </c>
      <c r="C33" s="60">
        <v>240</v>
      </c>
      <c r="D33" s="116">
        <f>'Вед. 2020'!G753</f>
        <v>195000</v>
      </c>
      <c r="E33" s="116">
        <f>'Вед. 2020'!H753</f>
        <v>195000</v>
      </c>
      <c r="F33" s="116">
        <f>'Вед. 2020'!I753</f>
        <v>195000</v>
      </c>
    </row>
    <row r="34" spans="1:6" ht="33">
      <c r="A34" s="41" t="s">
        <v>188</v>
      </c>
      <c r="B34" s="58" t="s">
        <v>432</v>
      </c>
      <c r="C34" s="60"/>
      <c r="D34" s="116">
        <f>D35+D36</f>
        <v>812000</v>
      </c>
      <c r="E34" s="116">
        <f>E35+E36</f>
        <v>812000</v>
      </c>
      <c r="F34" s="116">
        <f>F35+F36</f>
        <v>812000</v>
      </c>
    </row>
    <row r="35" spans="1:6" ht="33">
      <c r="A35" s="41" t="s">
        <v>127</v>
      </c>
      <c r="B35" s="58" t="s">
        <v>432</v>
      </c>
      <c r="C35" s="60">
        <v>120</v>
      </c>
      <c r="D35" s="116">
        <f>'Вед. 2020'!G755</f>
        <v>714000</v>
      </c>
      <c r="E35" s="116">
        <f>'Вед. 2020'!H755</f>
        <v>714000</v>
      </c>
      <c r="F35" s="116">
        <f>'Вед. 2020'!I755</f>
        <v>714000</v>
      </c>
    </row>
    <row r="36" spans="1:6" ht="33">
      <c r="A36" s="41" t="s">
        <v>130</v>
      </c>
      <c r="B36" s="58" t="s">
        <v>432</v>
      </c>
      <c r="C36" s="60">
        <v>240</v>
      </c>
      <c r="D36" s="116">
        <f>'Вед. 2020'!G756</f>
        <v>98000</v>
      </c>
      <c r="E36" s="116">
        <f>'Вед. 2020'!H756</f>
        <v>98000</v>
      </c>
      <c r="F36" s="116">
        <f>'Вед. 2020'!I756</f>
        <v>98000</v>
      </c>
    </row>
    <row r="37" spans="1:6" ht="16.5">
      <c r="A37" s="41" t="s">
        <v>1234</v>
      </c>
      <c r="B37" s="58" t="s">
        <v>233</v>
      </c>
      <c r="C37" s="60"/>
      <c r="D37" s="116">
        <f>D38+D41</f>
        <v>1788749.54</v>
      </c>
      <c r="E37" s="116">
        <f>E38+E41</f>
        <v>821000</v>
      </c>
      <c r="F37" s="116">
        <f>F38+F41</f>
        <v>0</v>
      </c>
    </row>
    <row r="38" spans="1:6" ht="33">
      <c r="A38" s="41" t="s">
        <v>248</v>
      </c>
      <c r="B38" s="58" t="s">
        <v>278</v>
      </c>
      <c r="C38" s="60"/>
      <c r="D38" s="116">
        <f aca="true" t="shared" si="1" ref="D38:F39">D39</f>
        <v>1609749.54</v>
      </c>
      <c r="E38" s="116">
        <f t="shared" si="1"/>
        <v>721000</v>
      </c>
      <c r="F38" s="116">
        <f t="shared" si="1"/>
        <v>0</v>
      </c>
    </row>
    <row r="39" spans="1:6" ht="66">
      <c r="A39" s="72" t="s">
        <v>1279</v>
      </c>
      <c r="B39" s="18" t="s">
        <v>1277</v>
      </c>
      <c r="C39" s="59"/>
      <c r="D39" s="43">
        <f t="shared" si="1"/>
        <v>1609749.54</v>
      </c>
      <c r="E39" s="43">
        <f t="shared" si="1"/>
        <v>721000</v>
      </c>
      <c r="F39" s="43">
        <f t="shared" si="1"/>
        <v>0</v>
      </c>
    </row>
    <row r="40" spans="1:6" ht="33">
      <c r="A40" s="41" t="s">
        <v>192</v>
      </c>
      <c r="B40" s="18" t="s">
        <v>1278</v>
      </c>
      <c r="C40" s="59">
        <v>320</v>
      </c>
      <c r="D40" s="43">
        <f>'Вед. 2020'!G778</f>
        <v>1609749.54</v>
      </c>
      <c r="E40" s="43">
        <f>'Вед. 2020'!H778</f>
        <v>721000</v>
      </c>
      <c r="F40" s="43">
        <f>'Вед. 2020'!I778</f>
        <v>0</v>
      </c>
    </row>
    <row r="41" spans="1:6" ht="16.5">
      <c r="A41" s="69" t="s">
        <v>1236</v>
      </c>
      <c r="B41" s="58" t="s">
        <v>1235</v>
      </c>
      <c r="C41" s="59"/>
      <c r="D41" s="43">
        <f aca="true" t="shared" si="2" ref="D41:F42">D42</f>
        <v>179000</v>
      </c>
      <c r="E41" s="43">
        <f t="shared" si="2"/>
        <v>100000</v>
      </c>
      <c r="F41" s="43">
        <f t="shared" si="2"/>
        <v>0</v>
      </c>
    </row>
    <row r="42" spans="1:6" ht="16.5">
      <c r="A42" s="74" t="s">
        <v>1237</v>
      </c>
      <c r="B42" s="18" t="s">
        <v>1238</v>
      </c>
      <c r="C42" s="59"/>
      <c r="D42" s="43">
        <f t="shared" si="2"/>
        <v>179000</v>
      </c>
      <c r="E42" s="43">
        <f t="shared" si="2"/>
        <v>100000</v>
      </c>
      <c r="F42" s="43">
        <f t="shared" si="2"/>
        <v>0</v>
      </c>
    </row>
    <row r="43" spans="1:6" ht="16.5">
      <c r="A43" s="41" t="s">
        <v>153</v>
      </c>
      <c r="B43" s="18" t="s">
        <v>1238</v>
      </c>
      <c r="C43" s="60">
        <v>610</v>
      </c>
      <c r="D43" s="116">
        <f>'Вед. 2020'!G199</f>
        <v>179000</v>
      </c>
      <c r="E43" s="116">
        <f>'Вед. 2020'!H199</f>
        <v>100000</v>
      </c>
      <c r="F43" s="116">
        <f>'Вед. 2020'!I199</f>
        <v>0</v>
      </c>
    </row>
    <row r="44" spans="1:6" ht="33">
      <c r="A44" s="41" t="s">
        <v>1128</v>
      </c>
      <c r="B44" s="117" t="s">
        <v>236</v>
      </c>
      <c r="C44" s="60"/>
      <c r="D44" s="116">
        <f aca="true" t="shared" si="3" ref="D44:F46">D45</f>
        <v>46000</v>
      </c>
      <c r="E44" s="116">
        <f t="shared" si="3"/>
        <v>48000</v>
      </c>
      <c r="F44" s="116">
        <f t="shared" si="3"/>
        <v>50000</v>
      </c>
    </row>
    <row r="45" spans="1:6" ht="18.75">
      <c r="A45" s="41" t="s">
        <v>279</v>
      </c>
      <c r="B45" s="117" t="s">
        <v>280</v>
      </c>
      <c r="C45" s="60"/>
      <c r="D45" s="116">
        <f t="shared" si="3"/>
        <v>46000</v>
      </c>
      <c r="E45" s="116">
        <f t="shared" si="3"/>
        <v>48000</v>
      </c>
      <c r="F45" s="116">
        <f t="shared" si="3"/>
        <v>50000</v>
      </c>
    </row>
    <row r="46" spans="1:6" ht="33.75">
      <c r="A46" s="40" t="s">
        <v>242</v>
      </c>
      <c r="B46" s="117" t="s">
        <v>281</v>
      </c>
      <c r="C46" s="60"/>
      <c r="D46" s="116">
        <f t="shared" si="3"/>
        <v>46000</v>
      </c>
      <c r="E46" s="116">
        <f t="shared" si="3"/>
        <v>48000</v>
      </c>
      <c r="F46" s="116">
        <f t="shared" si="3"/>
        <v>50000</v>
      </c>
    </row>
    <row r="47" spans="1:6" ht="33">
      <c r="A47" s="41" t="s">
        <v>130</v>
      </c>
      <c r="B47" s="117" t="s">
        <v>281</v>
      </c>
      <c r="C47" s="60">
        <v>240</v>
      </c>
      <c r="D47" s="116">
        <f>'Вед. 2020'!G140</f>
        <v>46000</v>
      </c>
      <c r="E47" s="116">
        <f>'Вед. 2020'!H140</f>
        <v>48000</v>
      </c>
      <c r="F47" s="116">
        <f>'Вед. 2020'!I140</f>
        <v>50000</v>
      </c>
    </row>
    <row r="48" spans="1:6" ht="33">
      <c r="A48" s="41" t="s">
        <v>1130</v>
      </c>
      <c r="B48" s="117" t="s">
        <v>253</v>
      </c>
      <c r="C48" s="60"/>
      <c r="D48" s="116">
        <f>D49+D115+D128</f>
        <v>1024589456.0000001</v>
      </c>
      <c r="E48" s="116">
        <f>E49+E115+E128</f>
        <v>743718442</v>
      </c>
      <c r="F48" s="116">
        <f>F49+F115+F128</f>
        <v>782053807</v>
      </c>
    </row>
    <row r="49" spans="1:6" ht="33">
      <c r="A49" s="41" t="s">
        <v>509</v>
      </c>
      <c r="B49" s="58" t="s">
        <v>261</v>
      </c>
      <c r="C49" s="60"/>
      <c r="D49" s="116">
        <f>D50+D66+D92+D99+D102+D105</f>
        <v>963120472.0000001</v>
      </c>
      <c r="E49" s="116">
        <f>E50+E66+E92+E99+E102+E105</f>
        <v>682457978</v>
      </c>
      <c r="F49" s="116">
        <f>F50+F66+F92+F99+F102+F105</f>
        <v>724911793</v>
      </c>
    </row>
    <row r="50" spans="1:6" ht="16.5">
      <c r="A50" s="41" t="s">
        <v>243</v>
      </c>
      <c r="B50" s="58" t="s">
        <v>284</v>
      </c>
      <c r="C50" s="60"/>
      <c r="D50" s="116">
        <f>D51+D53+D55+D58+D60+D62+D64</f>
        <v>140060760.22</v>
      </c>
      <c r="E50" s="116">
        <f>E51+E53+E55+E58+E60+E62+E64</f>
        <v>131402199.99999999</v>
      </c>
      <c r="F50" s="116">
        <f>F51+F53+F55+F58+F60+F62+F64</f>
        <v>142260200</v>
      </c>
    </row>
    <row r="51" spans="1:6" ht="33">
      <c r="A51" s="41" t="s">
        <v>152</v>
      </c>
      <c r="B51" s="58" t="s">
        <v>290</v>
      </c>
      <c r="C51" s="60"/>
      <c r="D51" s="116">
        <f>D52</f>
        <v>36308300</v>
      </c>
      <c r="E51" s="116">
        <f>E52</f>
        <v>37157800</v>
      </c>
      <c r="F51" s="116">
        <f>F52</f>
        <v>37157800</v>
      </c>
    </row>
    <row r="52" spans="1:6" ht="16.5">
      <c r="A52" s="41" t="s">
        <v>153</v>
      </c>
      <c r="B52" s="58" t="s">
        <v>290</v>
      </c>
      <c r="C52" s="60">
        <v>610</v>
      </c>
      <c r="D52" s="116">
        <f>'Вед. 2020'!G181</f>
        <v>36308300</v>
      </c>
      <c r="E52" s="116">
        <f>'Вед. 2020'!H181</f>
        <v>37157800</v>
      </c>
      <c r="F52" s="116">
        <f>'Вед. 2020'!I181</f>
        <v>37157800</v>
      </c>
    </row>
    <row r="53" spans="1:6" ht="49.5">
      <c r="A53" s="41" t="s">
        <v>472</v>
      </c>
      <c r="B53" s="62" t="s">
        <v>478</v>
      </c>
      <c r="C53" s="59"/>
      <c r="D53" s="43">
        <f>D54</f>
        <v>386392.22</v>
      </c>
      <c r="E53" s="43">
        <f>E54</f>
        <v>0</v>
      </c>
      <c r="F53" s="43">
        <f>F54</f>
        <v>0</v>
      </c>
    </row>
    <row r="54" spans="1:6" ht="16.5">
      <c r="A54" s="41" t="s">
        <v>132</v>
      </c>
      <c r="B54" s="61" t="s">
        <v>478</v>
      </c>
      <c r="C54" s="59">
        <v>850</v>
      </c>
      <c r="D54" s="43">
        <f>'Вед. 2020'!G523</f>
        <v>386392.22</v>
      </c>
      <c r="E54" s="43">
        <f>'Вед. 2020'!H523</f>
        <v>0</v>
      </c>
      <c r="F54" s="43">
        <f>'Вед. 2020'!I523</f>
        <v>0</v>
      </c>
    </row>
    <row r="55" spans="1:6" ht="33">
      <c r="A55" s="41" t="s">
        <v>182</v>
      </c>
      <c r="B55" s="58" t="s">
        <v>286</v>
      </c>
      <c r="C55" s="60"/>
      <c r="D55" s="116">
        <f>D56+D57</f>
        <v>400000</v>
      </c>
      <c r="E55" s="116">
        <f>E56+E57</f>
        <v>0</v>
      </c>
      <c r="F55" s="116">
        <f>F56+F57</f>
        <v>0</v>
      </c>
    </row>
    <row r="56" spans="1:6" ht="33" hidden="1">
      <c r="A56" s="41" t="s">
        <v>130</v>
      </c>
      <c r="B56" s="58" t="s">
        <v>286</v>
      </c>
      <c r="C56" s="60">
        <v>240</v>
      </c>
      <c r="D56" s="116">
        <f>'Вед. 2020'!G525</f>
        <v>0</v>
      </c>
      <c r="E56" s="116">
        <f>'Вед. 2020'!H525</f>
        <v>0</v>
      </c>
      <c r="F56" s="116">
        <f>'Вед. 2020'!I525</f>
        <v>0</v>
      </c>
    </row>
    <row r="57" spans="1:6" ht="16.5">
      <c r="A57" s="41" t="s">
        <v>153</v>
      </c>
      <c r="B57" s="58" t="s">
        <v>286</v>
      </c>
      <c r="C57" s="60">
        <v>610</v>
      </c>
      <c r="D57" s="116">
        <f>'Вед. 2020'!G185</f>
        <v>400000</v>
      </c>
      <c r="E57" s="116">
        <f>'Вед. 2020'!H185</f>
        <v>0</v>
      </c>
      <c r="F57" s="116">
        <f>'Вед. 2020'!I185</f>
        <v>0</v>
      </c>
    </row>
    <row r="58" spans="1:6" ht="16.5">
      <c r="A58" s="41" t="s">
        <v>181</v>
      </c>
      <c r="B58" s="58" t="s">
        <v>287</v>
      </c>
      <c r="C58" s="60"/>
      <c r="D58" s="116">
        <f>D59</f>
        <v>3561441.74</v>
      </c>
      <c r="E58" s="116">
        <f>E59</f>
        <v>3771248.48</v>
      </c>
      <c r="F58" s="116">
        <f>F59</f>
        <v>2081753.54</v>
      </c>
    </row>
    <row r="59" spans="1:6" ht="16.5">
      <c r="A59" s="41" t="s">
        <v>153</v>
      </c>
      <c r="B59" s="58" t="s">
        <v>287</v>
      </c>
      <c r="C59" s="60">
        <v>610</v>
      </c>
      <c r="D59" s="116">
        <f>'Вед. 2020'!G187</f>
        <v>3561441.74</v>
      </c>
      <c r="E59" s="116">
        <f>'Вед. 2020'!H187</f>
        <v>3771248.48</v>
      </c>
      <c r="F59" s="116">
        <f>'Вед. 2020'!I187</f>
        <v>2081753.54</v>
      </c>
    </row>
    <row r="60" spans="1:6" ht="49.5">
      <c r="A60" s="41" t="s">
        <v>285</v>
      </c>
      <c r="B60" s="58" t="s">
        <v>288</v>
      </c>
      <c r="C60" s="60"/>
      <c r="D60" s="116">
        <f>D61</f>
        <v>98142000</v>
      </c>
      <c r="E60" s="116">
        <f>E61</f>
        <v>88958000</v>
      </c>
      <c r="F60" s="116">
        <f>F61</f>
        <v>101556000</v>
      </c>
    </row>
    <row r="61" spans="1:6" ht="16.5">
      <c r="A61" s="41" t="s">
        <v>153</v>
      </c>
      <c r="B61" s="58" t="s">
        <v>288</v>
      </c>
      <c r="C61" s="60">
        <v>610</v>
      </c>
      <c r="D61" s="116">
        <f>'Вед. 2020'!G189</f>
        <v>98142000</v>
      </c>
      <c r="E61" s="116">
        <f>'Вед. 2020'!H189</f>
        <v>88958000</v>
      </c>
      <c r="F61" s="116">
        <f>'Вед. 2020'!I189</f>
        <v>101556000</v>
      </c>
    </row>
    <row r="62" spans="1:6" ht="33">
      <c r="A62" s="41" t="s">
        <v>1265</v>
      </c>
      <c r="B62" s="18" t="s">
        <v>1263</v>
      </c>
      <c r="C62" s="59"/>
      <c r="D62" s="43">
        <f>D63</f>
        <v>1250000</v>
      </c>
      <c r="E62" s="43">
        <f>E63</f>
        <v>1500000</v>
      </c>
      <c r="F62" s="43">
        <f>F63</f>
        <v>1450000</v>
      </c>
    </row>
    <row r="63" spans="1:6" ht="16.5">
      <c r="A63" s="41" t="s">
        <v>153</v>
      </c>
      <c r="B63" s="18" t="s">
        <v>1263</v>
      </c>
      <c r="C63" s="59">
        <v>610</v>
      </c>
      <c r="D63" s="43">
        <f>'Вед. 2020'!G191</f>
        <v>1250000</v>
      </c>
      <c r="E63" s="43">
        <f>'Вед. 2020'!H191</f>
        <v>1500000</v>
      </c>
      <c r="F63" s="43">
        <f>'Вед. 2020'!I191</f>
        <v>1450000</v>
      </c>
    </row>
    <row r="64" spans="1:6" ht="33">
      <c r="A64" s="41" t="s">
        <v>1266</v>
      </c>
      <c r="B64" s="18" t="s">
        <v>1264</v>
      </c>
      <c r="C64" s="59"/>
      <c r="D64" s="43">
        <f>D65</f>
        <v>12626.26</v>
      </c>
      <c r="E64" s="43">
        <f>E65</f>
        <v>15151.52</v>
      </c>
      <c r="F64" s="43">
        <f>F65</f>
        <v>14646.46</v>
      </c>
    </row>
    <row r="65" spans="1:6" ht="16.5">
      <c r="A65" s="41" t="s">
        <v>153</v>
      </c>
      <c r="B65" s="18" t="s">
        <v>1264</v>
      </c>
      <c r="C65" s="59">
        <v>610</v>
      </c>
      <c r="D65" s="43">
        <f>'Вед. 2020'!G193</f>
        <v>12626.26</v>
      </c>
      <c r="E65" s="43">
        <f>'Вед. 2020'!H193</f>
        <v>15151.52</v>
      </c>
      <c r="F65" s="43">
        <f>'Вед. 2020'!I193</f>
        <v>14646.46</v>
      </c>
    </row>
    <row r="66" spans="1:6" ht="33">
      <c r="A66" s="41" t="s">
        <v>244</v>
      </c>
      <c r="B66" s="58" t="s">
        <v>289</v>
      </c>
      <c r="C66" s="60"/>
      <c r="D66" s="116">
        <f>D67+D69+D73+D78+D82+D76+D84+D90+D86+D88</f>
        <v>559254886.69</v>
      </c>
      <c r="E66" s="116">
        <f>E67+E69+E73+E78+E82+E76+E84+E90+E86+E88</f>
        <v>523625478</v>
      </c>
      <c r="F66" s="116">
        <f>F67+F69+F73+F78+F82+F76+F84+F90+F86+F88</f>
        <v>552940468</v>
      </c>
    </row>
    <row r="67" spans="1:6" ht="33">
      <c r="A67" s="41" t="s">
        <v>154</v>
      </c>
      <c r="B67" s="58" t="s">
        <v>291</v>
      </c>
      <c r="C67" s="60"/>
      <c r="D67" s="116">
        <f>D68</f>
        <v>86681602.69</v>
      </c>
      <c r="E67" s="116">
        <f>E68</f>
        <v>91410368</v>
      </c>
      <c r="F67" s="116">
        <f>F68</f>
        <v>87864568</v>
      </c>
    </row>
    <row r="68" spans="1:6" ht="16.5">
      <c r="A68" s="41" t="s">
        <v>153</v>
      </c>
      <c r="B68" s="58" t="s">
        <v>291</v>
      </c>
      <c r="C68" s="60">
        <v>610</v>
      </c>
      <c r="D68" s="116">
        <f>'Вед. 2020'!G207</f>
        <v>86681602.69</v>
      </c>
      <c r="E68" s="116">
        <f>'Вед. 2020'!H207</f>
        <v>91410368</v>
      </c>
      <c r="F68" s="116">
        <f>'Вед. 2020'!I207</f>
        <v>87864568</v>
      </c>
    </row>
    <row r="69" spans="1:6" ht="49.5">
      <c r="A69" s="40" t="s">
        <v>472</v>
      </c>
      <c r="B69" s="18" t="s">
        <v>471</v>
      </c>
      <c r="C69" s="59"/>
      <c r="D69" s="43">
        <f>D70+D71+D72</f>
        <v>858761</v>
      </c>
      <c r="E69" s="43">
        <f>E71+E72</f>
        <v>0</v>
      </c>
      <c r="F69" s="43">
        <f>F71+F72</f>
        <v>0</v>
      </c>
    </row>
    <row r="70" spans="1:6" ht="33">
      <c r="A70" s="41" t="s">
        <v>130</v>
      </c>
      <c r="B70" s="18" t="s">
        <v>471</v>
      </c>
      <c r="C70" s="59">
        <v>240</v>
      </c>
      <c r="D70" s="43">
        <f>'Вед. 2020'!G534</f>
        <v>600000</v>
      </c>
      <c r="E70" s="43"/>
      <c r="F70" s="43"/>
    </row>
    <row r="71" spans="1:6" ht="16.5">
      <c r="A71" s="41" t="s">
        <v>132</v>
      </c>
      <c r="B71" s="18" t="s">
        <v>471</v>
      </c>
      <c r="C71" s="60">
        <v>850</v>
      </c>
      <c r="D71" s="43">
        <f>'Вед. 2020'!G535</f>
        <v>258761</v>
      </c>
      <c r="E71" s="43">
        <f>'Вед. 2020'!H535</f>
        <v>0</v>
      </c>
      <c r="F71" s="43">
        <f>'Вед. 2020'!I535</f>
        <v>0</v>
      </c>
    </row>
    <row r="72" spans="1:6" ht="16.5" hidden="1">
      <c r="A72" s="41" t="s">
        <v>153</v>
      </c>
      <c r="B72" s="18" t="s">
        <v>471</v>
      </c>
      <c r="C72" s="60">
        <v>610</v>
      </c>
      <c r="D72" s="43">
        <f>'Вед. 2020'!G209</f>
        <v>0</v>
      </c>
      <c r="E72" s="43">
        <f>'Вед. 2020'!H209</f>
        <v>0</v>
      </c>
      <c r="F72" s="43">
        <f>'Вед. 2020'!I209</f>
        <v>0</v>
      </c>
    </row>
    <row r="73" spans="1:6" ht="33">
      <c r="A73" s="41" t="s">
        <v>182</v>
      </c>
      <c r="B73" s="58" t="s">
        <v>292</v>
      </c>
      <c r="C73" s="60"/>
      <c r="D73" s="116">
        <f>D74+D75</f>
        <v>3400000</v>
      </c>
      <c r="E73" s="116">
        <f>E74+E75</f>
        <v>5750000</v>
      </c>
      <c r="F73" s="116">
        <f>F74+F75</f>
        <v>0</v>
      </c>
    </row>
    <row r="74" spans="1:6" ht="33">
      <c r="A74" s="41" t="s">
        <v>130</v>
      </c>
      <c r="B74" s="58" t="s">
        <v>292</v>
      </c>
      <c r="C74" s="60">
        <v>240</v>
      </c>
      <c r="D74" s="116">
        <f>'Вед. 2020'!G537</f>
        <v>3400000</v>
      </c>
      <c r="E74" s="116">
        <f>'Вед. 2020'!H537</f>
        <v>5000000</v>
      </c>
      <c r="F74" s="116">
        <f>'Вед. 2020'!I537</f>
        <v>0</v>
      </c>
    </row>
    <row r="75" spans="1:6" ht="16.5">
      <c r="A75" s="41" t="s">
        <v>153</v>
      </c>
      <c r="B75" s="58" t="s">
        <v>292</v>
      </c>
      <c r="C75" s="60">
        <v>610</v>
      </c>
      <c r="D75" s="116">
        <f>'Вед. 2020'!G211</f>
        <v>0</v>
      </c>
      <c r="E75" s="116">
        <f>'Вед. 2020'!H211</f>
        <v>750000</v>
      </c>
      <c r="F75" s="116">
        <f>'Вед. 2020'!I211</f>
        <v>0</v>
      </c>
    </row>
    <row r="76" spans="1:6" ht="16.5">
      <c r="A76" s="41" t="s">
        <v>155</v>
      </c>
      <c r="B76" s="58" t="s">
        <v>294</v>
      </c>
      <c r="C76" s="60"/>
      <c r="D76" s="116">
        <f>D77</f>
        <v>2580000</v>
      </c>
      <c r="E76" s="116">
        <f>E77</f>
        <v>2530000</v>
      </c>
      <c r="F76" s="116">
        <f>F77</f>
        <v>2580000</v>
      </c>
    </row>
    <row r="77" spans="1:6" ht="16.5">
      <c r="A77" s="41" t="s">
        <v>153</v>
      </c>
      <c r="B77" s="58" t="s">
        <v>294</v>
      </c>
      <c r="C77" s="60">
        <v>610</v>
      </c>
      <c r="D77" s="116">
        <f>'Вед. 2020'!G213</f>
        <v>2580000</v>
      </c>
      <c r="E77" s="116">
        <f>'Вед. 2020'!H213</f>
        <v>2530000</v>
      </c>
      <c r="F77" s="116">
        <f>'Вед. 2020'!I213</f>
        <v>2580000</v>
      </c>
    </row>
    <row r="78" spans="1:6" ht="33">
      <c r="A78" s="41" t="s">
        <v>183</v>
      </c>
      <c r="B78" s="58" t="s">
        <v>293</v>
      </c>
      <c r="C78" s="60"/>
      <c r="D78" s="116">
        <f>D79+D80+D81</f>
        <v>8940028.05</v>
      </c>
      <c r="E78" s="116">
        <f>E79+E80+E81</f>
        <v>3673998.89</v>
      </c>
      <c r="F78" s="116">
        <f>F79+F80+F81</f>
        <v>992849.49</v>
      </c>
    </row>
    <row r="79" spans="1:6" ht="33" hidden="1">
      <c r="A79" s="41" t="s">
        <v>127</v>
      </c>
      <c r="B79" s="58" t="s">
        <v>293</v>
      </c>
      <c r="C79" s="60">
        <v>120</v>
      </c>
      <c r="D79" s="116">
        <f>'Вед. 2020'!G269</f>
        <v>0</v>
      </c>
      <c r="E79" s="116">
        <f>'Вед. 2020'!H269</f>
        <v>0</v>
      </c>
      <c r="F79" s="116">
        <f>'Вед. 2020'!I269</f>
        <v>0</v>
      </c>
    </row>
    <row r="80" spans="1:6" ht="33">
      <c r="A80" s="41" t="s">
        <v>130</v>
      </c>
      <c r="B80" s="58" t="s">
        <v>293</v>
      </c>
      <c r="C80" s="60">
        <v>240</v>
      </c>
      <c r="D80" s="116">
        <f>'Вед. 2020'!G270</f>
        <v>165000</v>
      </c>
      <c r="E80" s="116">
        <f>'Вед. 2020'!H270</f>
        <v>160000</v>
      </c>
      <c r="F80" s="116">
        <f>'Вед. 2020'!I270</f>
        <v>160000</v>
      </c>
    </row>
    <row r="81" spans="1:6" ht="16.5">
      <c r="A81" s="41" t="s">
        <v>153</v>
      </c>
      <c r="B81" s="58" t="s">
        <v>293</v>
      </c>
      <c r="C81" s="60">
        <v>610</v>
      </c>
      <c r="D81" s="116">
        <f>'Вед. 2020'!G215</f>
        <v>8775028.05</v>
      </c>
      <c r="E81" s="116">
        <f>'Вед. 2020'!H215</f>
        <v>3513998.89</v>
      </c>
      <c r="F81" s="116">
        <f>'Вед. 2020'!I215</f>
        <v>832849.49</v>
      </c>
    </row>
    <row r="82" spans="1:6" ht="99">
      <c r="A82" s="41" t="s">
        <v>434</v>
      </c>
      <c r="B82" s="58" t="s">
        <v>435</v>
      </c>
      <c r="C82" s="60"/>
      <c r="D82" s="116">
        <f>D83</f>
        <v>448125000</v>
      </c>
      <c r="E82" s="116">
        <f>E83</f>
        <v>405952000</v>
      </c>
      <c r="F82" s="116">
        <f>F83</f>
        <v>456579000</v>
      </c>
    </row>
    <row r="83" spans="1:6" ht="16.5">
      <c r="A83" s="41" t="s">
        <v>153</v>
      </c>
      <c r="B83" s="58" t="s">
        <v>435</v>
      </c>
      <c r="C83" s="60">
        <v>610</v>
      </c>
      <c r="D83" s="116">
        <f>'Вед. 2020'!G217</f>
        <v>448125000</v>
      </c>
      <c r="E83" s="116">
        <f>'Вед. 2020'!H217</f>
        <v>405952000</v>
      </c>
      <c r="F83" s="116">
        <f>'Вед. 2020'!I217</f>
        <v>456579000</v>
      </c>
    </row>
    <row r="84" spans="1:6" ht="16.5">
      <c r="A84" s="95" t="s">
        <v>1267</v>
      </c>
      <c r="B84" s="18" t="s">
        <v>1271</v>
      </c>
      <c r="C84" s="59"/>
      <c r="D84" s="43">
        <f>D85</f>
        <v>1131070</v>
      </c>
      <c r="E84" s="43">
        <f>E85</f>
        <v>1000000</v>
      </c>
      <c r="F84" s="43">
        <f>F85</f>
        <v>500000</v>
      </c>
    </row>
    <row r="85" spans="1:6" ht="16.5">
      <c r="A85" s="41" t="s">
        <v>153</v>
      </c>
      <c r="B85" s="18" t="s">
        <v>1271</v>
      </c>
      <c r="C85" s="59">
        <v>610</v>
      </c>
      <c r="D85" s="43">
        <f>'Вед. 2020'!G219</f>
        <v>1131070</v>
      </c>
      <c r="E85" s="43">
        <f>'Вед. 2020'!H219</f>
        <v>1000000</v>
      </c>
      <c r="F85" s="43">
        <f>'Вед. 2020'!I219</f>
        <v>500000</v>
      </c>
    </row>
    <row r="86" spans="1:6" ht="16.5">
      <c r="A86" s="72" t="s">
        <v>1273</v>
      </c>
      <c r="B86" s="18" t="s">
        <v>1274</v>
      </c>
      <c r="C86" s="59"/>
      <c r="D86" s="43">
        <f>D87</f>
        <v>4419000</v>
      </c>
      <c r="E86" s="43">
        <f>E87</f>
        <v>4419000</v>
      </c>
      <c r="F86" s="43">
        <f>F87</f>
        <v>4419000</v>
      </c>
    </row>
    <row r="87" spans="1:6" ht="16.5">
      <c r="A87" s="41" t="s">
        <v>153</v>
      </c>
      <c r="B87" s="18" t="s">
        <v>1274</v>
      </c>
      <c r="C87" s="59">
        <v>610</v>
      </c>
      <c r="D87" s="43">
        <f>'Вед. 2020'!G221</f>
        <v>4419000</v>
      </c>
      <c r="E87" s="43">
        <f>'Вед. 2020'!H221</f>
        <v>4419000</v>
      </c>
      <c r="F87" s="43">
        <f>'Вед. 2020'!I221</f>
        <v>4419000</v>
      </c>
    </row>
    <row r="88" spans="1:6" ht="66">
      <c r="A88" s="72" t="s">
        <v>1275</v>
      </c>
      <c r="B88" s="18" t="s">
        <v>1276</v>
      </c>
      <c r="C88" s="59"/>
      <c r="D88" s="43">
        <f>D89</f>
        <v>3108000</v>
      </c>
      <c r="E88" s="43">
        <f>E89</f>
        <v>8880010.1</v>
      </c>
      <c r="F88" s="43">
        <f>F89</f>
        <v>0</v>
      </c>
    </row>
    <row r="89" spans="1:6" ht="16.5">
      <c r="A89" s="41" t="s">
        <v>153</v>
      </c>
      <c r="B89" s="18" t="s">
        <v>1276</v>
      </c>
      <c r="C89" s="59">
        <v>610</v>
      </c>
      <c r="D89" s="43">
        <f>'Вед. 2020'!G223</f>
        <v>3108000</v>
      </c>
      <c r="E89" s="43">
        <f>'Вед. 2020'!H223</f>
        <v>8880010.1</v>
      </c>
      <c r="F89" s="43">
        <f>'Вед. 2020'!I223</f>
        <v>0</v>
      </c>
    </row>
    <row r="90" spans="1:6" ht="33">
      <c r="A90" s="72" t="s">
        <v>1270</v>
      </c>
      <c r="B90" s="18" t="s">
        <v>1272</v>
      </c>
      <c r="C90" s="59"/>
      <c r="D90" s="43">
        <f>D91</f>
        <v>11424.95</v>
      </c>
      <c r="E90" s="43">
        <f>E91</f>
        <v>10101.01</v>
      </c>
      <c r="F90" s="43">
        <f>F91</f>
        <v>5050.51</v>
      </c>
    </row>
    <row r="91" spans="1:6" ht="16.5">
      <c r="A91" s="41" t="s">
        <v>153</v>
      </c>
      <c r="B91" s="18" t="s">
        <v>1272</v>
      </c>
      <c r="C91" s="59">
        <v>610</v>
      </c>
      <c r="D91" s="43">
        <f>'Вед. 2020'!G225</f>
        <v>11424.95</v>
      </c>
      <c r="E91" s="43">
        <f>'Вед. 2020'!H225</f>
        <v>10101.01</v>
      </c>
      <c r="F91" s="43">
        <f>'Вед. 2020'!I225</f>
        <v>5050.51</v>
      </c>
    </row>
    <row r="92" spans="1:6" ht="16.5">
      <c r="A92" s="41" t="s">
        <v>534</v>
      </c>
      <c r="B92" s="61" t="s">
        <v>533</v>
      </c>
      <c r="C92" s="59"/>
      <c r="D92" s="43">
        <f>D93+D95+D97</f>
        <v>184293727</v>
      </c>
      <c r="E92" s="43">
        <f>E93+E95+E97</f>
        <v>0</v>
      </c>
      <c r="F92" s="43">
        <f>F93+F95+F97</f>
        <v>0</v>
      </c>
    </row>
    <row r="93" spans="1:6" ht="33">
      <c r="A93" s="41" t="s">
        <v>1306</v>
      </c>
      <c r="B93" s="61" t="s">
        <v>532</v>
      </c>
      <c r="C93" s="59"/>
      <c r="D93" s="43">
        <f>D94</f>
        <v>181672919</v>
      </c>
      <c r="E93" s="43">
        <f>E94</f>
        <v>0</v>
      </c>
      <c r="F93" s="43">
        <f>F94</f>
        <v>0</v>
      </c>
    </row>
    <row r="94" spans="1:6" ht="16.5">
      <c r="A94" s="41" t="s">
        <v>164</v>
      </c>
      <c r="B94" s="61" t="s">
        <v>532</v>
      </c>
      <c r="C94" s="59">
        <v>410</v>
      </c>
      <c r="D94" s="43">
        <f>'Вед. 2020'!G540+'Вед. 2020'!G228</f>
        <v>181672919</v>
      </c>
      <c r="E94" s="43">
        <f>'Вед. 2020'!H540</f>
        <v>0</v>
      </c>
      <c r="F94" s="43">
        <f>'Вед. 2020'!I540</f>
        <v>0</v>
      </c>
    </row>
    <row r="95" spans="1:6" ht="33">
      <c r="A95" s="41" t="s">
        <v>1267</v>
      </c>
      <c r="B95" s="18" t="s">
        <v>1268</v>
      </c>
      <c r="C95" s="59"/>
      <c r="D95" s="43">
        <f>D96</f>
        <v>2594600</v>
      </c>
      <c r="E95" s="43">
        <f>E96</f>
        <v>0</v>
      </c>
      <c r="F95" s="43">
        <f>F96</f>
        <v>0</v>
      </c>
    </row>
    <row r="96" spans="1:6" ht="16.5">
      <c r="A96" s="41" t="s">
        <v>153</v>
      </c>
      <c r="B96" s="18" t="s">
        <v>1268</v>
      </c>
      <c r="C96" s="59">
        <v>610</v>
      </c>
      <c r="D96" s="43">
        <f>'Вед. 2020'!G230</f>
        <v>2594600</v>
      </c>
      <c r="E96" s="43">
        <f>'Вед. 2020'!H230</f>
        <v>0</v>
      </c>
      <c r="F96" s="43">
        <f>'Вед. 2020'!I230</f>
        <v>0</v>
      </c>
    </row>
    <row r="97" spans="1:6" ht="33">
      <c r="A97" s="41" t="s">
        <v>1270</v>
      </c>
      <c r="B97" s="18" t="s">
        <v>1269</v>
      </c>
      <c r="C97" s="59"/>
      <c r="D97" s="43">
        <f>D98</f>
        <v>26208</v>
      </c>
      <c r="E97" s="43">
        <f>E98</f>
        <v>0</v>
      </c>
      <c r="F97" s="43">
        <f>F98</f>
        <v>0</v>
      </c>
    </row>
    <row r="98" spans="1:6" ht="16.5">
      <c r="A98" s="41" t="s">
        <v>153</v>
      </c>
      <c r="B98" s="18" t="s">
        <v>1269</v>
      </c>
      <c r="C98" s="59">
        <v>610</v>
      </c>
      <c r="D98" s="43">
        <f>'Вед. 2020'!G232</f>
        <v>26208</v>
      </c>
      <c r="E98" s="43">
        <f>'Вед. 2020'!H232</f>
        <v>0</v>
      </c>
      <c r="F98" s="43">
        <f>'Вед. 2020'!I232</f>
        <v>0</v>
      </c>
    </row>
    <row r="99" spans="1:6" ht="16.5" hidden="1">
      <c r="A99" s="41" t="s">
        <v>543</v>
      </c>
      <c r="B99" s="61" t="s">
        <v>544</v>
      </c>
      <c r="C99" s="59"/>
      <c r="D99" s="43">
        <f aca="true" t="shared" si="4" ref="D99:F100">D100</f>
        <v>0</v>
      </c>
      <c r="E99" s="43">
        <f t="shared" si="4"/>
        <v>0</v>
      </c>
      <c r="F99" s="43">
        <f t="shared" si="4"/>
        <v>2280825</v>
      </c>
    </row>
    <row r="100" spans="1:6" ht="49.5" hidden="1">
      <c r="A100" s="41" t="s">
        <v>545</v>
      </c>
      <c r="B100" s="61" t="s">
        <v>542</v>
      </c>
      <c r="C100" s="59"/>
      <c r="D100" s="43">
        <f t="shared" si="4"/>
        <v>0</v>
      </c>
      <c r="E100" s="43">
        <f t="shared" si="4"/>
        <v>0</v>
      </c>
      <c r="F100" s="43">
        <f t="shared" si="4"/>
        <v>2280825</v>
      </c>
    </row>
    <row r="101" spans="1:6" ht="33" hidden="1">
      <c r="A101" s="41" t="s">
        <v>130</v>
      </c>
      <c r="B101" s="61" t="s">
        <v>542</v>
      </c>
      <c r="C101" s="59">
        <v>240</v>
      </c>
      <c r="D101" s="43">
        <f>'Вед. 2020'!G543</f>
        <v>0</v>
      </c>
      <c r="E101" s="43">
        <f>'Вед. 2020'!H543</f>
        <v>0</v>
      </c>
      <c r="F101" s="43">
        <f>'Вед. 2020'!I543</f>
        <v>2280825</v>
      </c>
    </row>
    <row r="102" spans="1:6" ht="49.5">
      <c r="A102" s="40" t="s">
        <v>536</v>
      </c>
      <c r="B102" s="61" t="s">
        <v>537</v>
      </c>
      <c r="C102" s="59"/>
      <c r="D102" s="43">
        <f aca="true" t="shared" si="5" ref="D102:F103">D103</f>
        <v>52091798.09</v>
      </c>
      <c r="E102" s="43">
        <f t="shared" si="5"/>
        <v>0</v>
      </c>
      <c r="F102" s="43">
        <f t="shared" si="5"/>
        <v>0</v>
      </c>
    </row>
    <row r="103" spans="1:6" ht="66">
      <c r="A103" s="77" t="s">
        <v>539</v>
      </c>
      <c r="B103" s="61" t="s">
        <v>538</v>
      </c>
      <c r="C103" s="59"/>
      <c r="D103" s="43">
        <f t="shared" si="5"/>
        <v>52091798.09</v>
      </c>
      <c r="E103" s="43">
        <f t="shared" si="5"/>
        <v>0</v>
      </c>
      <c r="F103" s="43">
        <f t="shared" si="5"/>
        <v>0</v>
      </c>
    </row>
    <row r="104" spans="1:6" ht="16.5">
      <c r="A104" s="41" t="s">
        <v>164</v>
      </c>
      <c r="B104" s="61" t="s">
        <v>538</v>
      </c>
      <c r="C104" s="59">
        <v>410</v>
      </c>
      <c r="D104" s="43">
        <f>'Вед. 2020'!G528</f>
        <v>52091798.09</v>
      </c>
      <c r="E104" s="43">
        <f>'Вед. 2020'!H528</f>
        <v>0</v>
      </c>
      <c r="F104" s="43">
        <f>'Вед. 2020'!I528</f>
        <v>0</v>
      </c>
    </row>
    <row r="105" spans="1:6" ht="16.5">
      <c r="A105" s="41" t="s">
        <v>245</v>
      </c>
      <c r="B105" s="58" t="s">
        <v>295</v>
      </c>
      <c r="C105" s="60"/>
      <c r="D105" s="116">
        <f>D111+D106</f>
        <v>27419300</v>
      </c>
      <c r="E105" s="116">
        <f>E111+E106</f>
        <v>27430300</v>
      </c>
      <c r="F105" s="116">
        <f>F111+F106</f>
        <v>27430300</v>
      </c>
    </row>
    <row r="106" spans="1:6" ht="49.5">
      <c r="A106" s="41" t="s">
        <v>157</v>
      </c>
      <c r="B106" s="58" t="s">
        <v>297</v>
      </c>
      <c r="C106" s="60"/>
      <c r="D106" s="116">
        <f>D107+D108+D109+D110</f>
        <v>20608400</v>
      </c>
      <c r="E106" s="116">
        <f>E107+E108+E109+E110</f>
        <v>20608400</v>
      </c>
      <c r="F106" s="116">
        <f>F107+F108+F109+F110</f>
        <v>20608400</v>
      </c>
    </row>
    <row r="107" spans="1:6" ht="33">
      <c r="A107" s="41" t="s">
        <v>127</v>
      </c>
      <c r="B107" s="58" t="s">
        <v>297</v>
      </c>
      <c r="C107" s="60">
        <v>120</v>
      </c>
      <c r="D107" s="116">
        <f>'Вед. 2020'!G273</f>
        <v>18229700</v>
      </c>
      <c r="E107" s="116">
        <f>'Вед. 2020'!H273</f>
        <v>18229700</v>
      </c>
      <c r="F107" s="116">
        <f>'Вед. 2020'!I273</f>
        <v>18229700</v>
      </c>
    </row>
    <row r="108" spans="1:6" ht="33">
      <c r="A108" s="41" t="s">
        <v>130</v>
      </c>
      <c r="B108" s="58" t="s">
        <v>297</v>
      </c>
      <c r="C108" s="60">
        <v>240</v>
      </c>
      <c r="D108" s="116">
        <f>'Вед. 2020'!G274</f>
        <v>2317350</v>
      </c>
      <c r="E108" s="116">
        <f>'Вед. 2020'!H274</f>
        <v>2317350</v>
      </c>
      <c r="F108" s="116">
        <f>'Вед. 2020'!I274</f>
        <v>2317350</v>
      </c>
    </row>
    <row r="109" spans="1:6" ht="16.5">
      <c r="A109" s="41" t="s">
        <v>194</v>
      </c>
      <c r="B109" s="58" t="s">
        <v>297</v>
      </c>
      <c r="C109" s="60">
        <v>830</v>
      </c>
      <c r="D109" s="116">
        <f>'Вед. 2020'!G275</f>
        <v>12000</v>
      </c>
      <c r="E109" s="116">
        <f>'Вед. 2020'!H275</f>
        <v>12000</v>
      </c>
      <c r="F109" s="116">
        <f>'Вед. 2020'!I275</f>
        <v>12000</v>
      </c>
    </row>
    <row r="110" spans="1:6" ht="16.5">
      <c r="A110" s="41" t="s">
        <v>132</v>
      </c>
      <c r="B110" s="58" t="s">
        <v>297</v>
      </c>
      <c r="C110" s="60">
        <v>850</v>
      </c>
      <c r="D110" s="116">
        <f>'Вед. 2020'!G276</f>
        <v>49350</v>
      </c>
      <c r="E110" s="116">
        <f>'Вед. 2020'!H276</f>
        <v>49350</v>
      </c>
      <c r="F110" s="116">
        <f>'Вед. 2020'!I276</f>
        <v>49350</v>
      </c>
    </row>
    <row r="111" spans="1:6" ht="16.5">
      <c r="A111" s="41" t="s">
        <v>129</v>
      </c>
      <c r="B111" s="58" t="s">
        <v>296</v>
      </c>
      <c r="C111" s="60"/>
      <c r="D111" s="116">
        <f>D112+D113+D114</f>
        <v>6810900</v>
      </c>
      <c r="E111" s="116">
        <f>E112+E113+E114</f>
        <v>6821900</v>
      </c>
      <c r="F111" s="116">
        <f>F112+F113+F114</f>
        <v>6821900</v>
      </c>
    </row>
    <row r="112" spans="1:6" ht="33">
      <c r="A112" s="41" t="s">
        <v>127</v>
      </c>
      <c r="B112" s="58" t="s">
        <v>296</v>
      </c>
      <c r="C112" s="60">
        <v>120</v>
      </c>
      <c r="D112" s="116">
        <f>'Вед. 2020'!G278</f>
        <v>6506600</v>
      </c>
      <c r="E112" s="116">
        <f>'Вед. 2020'!H278</f>
        <v>6517600</v>
      </c>
      <c r="F112" s="116">
        <f>'Вед. 2020'!I278</f>
        <v>6517600</v>
      </c>
    </row>
    <row r="113" spans="1:6" ht="33">
      <c r="A113" s="41" t="s">
        <v>130</v>
      </c>
      <c r="B113" s="58" t="s">
        <v>296</v>
      </c>
      <c r="C113" s="60">
        <v>240</v>
      </c>
      <c r="D113" s="116">
        <f>'Вед. 2020'!G279</f>
        <v>304300</v>
      </c>
      <c r="E113" s="116">
        <f>'Вед. 2020'!H279</f>
        <v>304300</v>
      </c>
      <c r="F113" s="116">
        <f>'Вед. 2020'!I279</f>
        <v>304300</v>
      </c>
    </row>
    <row r="114" spans="1:6" ht="16.5" hidden="1">
      <c r="A114" s="41" t="s">
        <v>132</v>
      </c>
      <c r="B114" s="58" t="s">
        <v>296</v>
      </c>
      <c r="C114" s="60">
        <v>850</v>
      </c>
      <c r="D114" s="116"/>
      <c r="E114" s="116"/>
      <c r="F114" s="116"/>
    </row>
    <row r="115" spans="1:6" ht="33">
      <c r="A115" s="41" t="s">
        <v>510</v>
      </c>
      <c r="B115" s="58" t="s">
        <v>262</v>
      </c>
      <c r="C115" s="60"/>
      <c r="D115" s="116">
        <f>D116+D125</f>
        <v>61206984</v>
      </c>
      <c r="E115" s="116">
        <f>E116+E125</f>
        <v>61007464</v>
      </c>
      <c r="F115" s="116">
        <f>F116+F125</f>
        <v>56880014</v>
      </c>
    </row>
    <row r="116" spans="1:6" ht="16.5">
      <c r="A116" s="41" t="s">
        <v>246</v>
      </c>
      <c r="B116" s="58" t="s">
        <v>298</v>
      </c>
      <c r="C116" s="60"/>
      <c r="D116" s="116">
        <f>D117+D119+D121+D123</f>
        <v>61036984</v>
      </c>
      <c r="E116" s="116">
        <f>E117+E119+E121+E123</f>
        <v>60847464</v>
      </c>
      <c r="F116" s="116">
        <f>F117+F119+F121+F123</f>
        <v>56710014</v>
      </c>
    </row>
    <row r="117" spans="1:6" ht="33">
      <c r="A117" s="41" t="s">
        <v>467</v>
      </c>
      <c r="B117" s="58" t="s">
        <v>300</v>
      </c>
      <c r="C117" s="60"/>
      <c r="D117" s="116">
        <f>D118</f>
        <v>17513652</v>
      </c>
      <c r="E117" s="116">
        <f>E118</f>
        <v>17513652</v>
      </c>
      <c r="F117" s="116">
        <f>F118</f>
        <v>16822352</v>
      </c>
    </row>
    <row r="118" spans="1:6" ht="16.5">
      <c r="A118" s="41" t="s">
        <v>153</v>
      </c>
      <c r="B118" s="58" t="s">
        <v>300</v>
      </c>
      <c r="C118" s="60">
        <v>610</v>
      </c>
      <c r="D118" s="116">
        <f>'Вед. 2020'!G331</f>
        <v>17513652</v>
      </c>
      <c r="E118" s="116">
        <f>'Вед. 2020'!H331</f>
        <v>17513652</v>
      </c>
      <c r="F118" s="116">
        <f>'Вед. 2020'!I331</f>
        <v>16822352</v>
      </c>
    </row>
    <row r="119" spans="1:6" ht="33">
      <c r="A119" s="41" t="s">
        <v>465</v>
      </c>
      <c r="B119" s="58" t="s">
        <v>299</v>
      </c>
      <c r="C119" s="60"/>
      <c r="D119" s="116">
        <f>D120</f>
        <v>21391300</v>
      </c>
      <c r="E119" s="116">
        <f>E120</f>
        <v>21391300</v>
      </c>
      <c r="F119" s="116">
        <f>F120</f>
        <v>21391300</v>
      </c>
    </row>
    <row r="120" spans="1:6" ht="16.5">
      <c r="A120" s="41" t="s">
        <v>153</v>
      </c>
      <c r="B120" s="58" t="s">
        <v>299</v>
      </c>
      <c r="C120" s="60">
        <v>610</v>
      </c>
      <c r="D120" s="116">
        <f>'Вед. 2020'!G246</f>
        <v>21391300</v>
      </c>
      <c r="E120" s="116">
        <f>'Вед. 2020'!H246</f>
        <v>21391300</v>
      </c>
      <c r="F120" s="116">
        <f>'Вед. 2020'!I246</f>
        <v>21391300</v>
      </c>
    </row>
    <row r="121" spans="1:6" ht="33">
      <c r="A121" s="41" t="s">
        <v>466</v>
      </c>
      <c r="B121" s="58" t="s">
        <v>301</v>
      </c>
      <c r="C121" s="60"/>
      <c r="D121" s="116">
        <f>D122</f>
        <v>21888512</v>
      </c>
      <c r="E121" s="116">
        <f>E122</f>
        <v>21888512</v>
      </c>
      <c r="F121" s="116">
        <f>F122</f>
        <v>18442362</v>
      </c>
    </row>
    <row r="122" spans="1:6" ht="16.5">
      <c r="A122" s="41" t="s">
        <v>153</v>
      </c>
      <c r="B122" s="58" t="s">
        <v>301</v>
      </c>
      <c r="C122" s="60">
        <v>610</v>
      </c>
      <c r="D122" s="116">
        <f>'Вед. 2020'!G333</f>
        <v>21888512</v>
      </c>
      <c r="E122" s="116">
        <f>'Вед. 2020'!H333</f>
        <v>21888512</v>
      </c>
      <c r="F122" s="116">
        <f>'Вед. 2020'!I333</f>
        <v>18442362</v>
      </c>
    </row>
    <row r="123" spans="1:6" ht="33">
      <c r="A123" s="41" t="s">
        <v>183</v>
      </c>
      <c r="B123" s="18" t="s">
        <v>475</v>
      </c>
      <c r="C123" s="59"/>
      <c r="D123" s="43">
        <f>D124</f>
        <v>243520</v>
      </c>
      <c r="E123" s="43">
        <f>E124</f>
        <v>54000</v>
      </c>
      <c r="F123" s="43">
        <f>F124</f>
        <v>54000</v>
      </c>
    </row>
    <row r="124" spans="1:6" ht="16.5">
      <c r="A124" s="41" t="s">
        <v>153</v>
      </c>
      <c r="B124" s="18" t="s">
        <v>475</v>
      </c>
      <c r="C124" s="59">
        <v>610</v>
      </c>
      <c r="D124" s="43">
        <f>'Вед. 2020'!G248</f>
        <v>243520</v>
      </c>
      <c r="E124" s="43">
        <f>'Вед. 2020'!H248</f>
        <v>54000</v>
      </c>
      <c r="F124" s="43">
        <f>'Вед. 2020'!I248</f>
        <v>54000</v>
      </c>
    </row>
    <row r="125" spans="1:6" ht="16.5">
      <c r="A125" s="41" t="s">
        <v>247</v>
      </c>
      <c r="B125" s="58" t="s">
        <v>302</v>
      </c>
      <c r="C125" s="60"/>
      <c r="D125" s="116">
        <f aca="true" t="shared" si="6" ref="D125:F126">D126</f>
        <v>170000</v>
      </c>
      <c r="E125" s="116">
        <f t="shared" si="6"/>
        <v>160000</v>
      </c>
      <c r="F125" s="116">
        <f t="shared" si="6"/>
        <v>170000</v>
      </c>
    </row>
    <row r="126" spans="1:6" ht="33">
      <c r="A126" s="41" t="s">
        <v>183</v>
      </c>
      <c r="B126" s="58" t="s">
        <v>303</v>
      </c>
      <c r="C126" s="60"/>
      <c r="D126" s="116">
        <f t="shared" si="6"/>
        <v>170000</v>
      </c>
      <c r="E126" s="116">
        <f t="shared" si="6"/>
        <v>160000</v>
      </c>
      <c r="F126" s="116">
        <f t="shared" si="6"/>
        <v>170000</v>
      </c>
    </row>
    <row r="127" spans="1:6" ht="33">
      <c r="A127" s="41" t="s">
        <v>130</v>
      </c>
      <c r="B127" s="58" t="s">
        <v>303</v>
      </c>
      <c r="C127" s="60">
        <v>240</v>
      </c>
      <c r="D127" s="116">
        <f>'Вед. 2020'!G284</f>
        <v>170000</v>
      </c>
      <c r="E127" s="116">
        <f>'Вед. 2020'!H284</f>
        <v>160000</v>
      </c>
      <c r="F127" s="116">
        <f>'Вед. 2020'!I284</f>
        <v>170000</v>
      </c>
    </row>
    <row r="128" spans="1:6" ht="16.5">
      <c r="A128" s="41" t="s">
        <v>511</v>
      </c>
      <c r="B128" s="58" t="s">
        <v>263</v>
      </c>
      <c r="C128" s="60"/>
      <c r="D128" s="116">
        <f aca="true" t="shared" si="7" ref="D128:F129">D129</f>
        <v>262000</v>
      </c>
      <c r="E128" s="116">
        <f t="shared" si="7"/>
        <v>253000</v>
      </c>
      <c r="F128" s="116">
        <f t="shared" si="7"/>
        <v>262000</v>
      </c>
    </row>
    <row r="129" spans="1:6" ht="33">
      <c r="A129" s="41" t="s">
        <v>306</v>
      </c>
      <c r="B129" s="58" t="s">
        <v>305</v>
      </c>
      <c r="C129" s="60"/>
      <c r="D129" s="116">
        <f t="shared" si="7"/>
        <v>262000</v>
      </c>
      <c r="E129" s="116">
        <f t="shared" si="7"/>
        <v>253000</v>
      </c>
      <c r="F129" s="116">
        <f t="shared" si="7"/>
        <v>262000</v>
      </c>
    </row>
    <row r="130" spans="1:6" ht="16.5">
      <c r="A130" s="41" t="s">
        <v>156</v>
      </c>
      <c r="B130" s="58" t="s">
        <v>464</v>
      </c>
      <c r="C130" s="60"/>
      <c r="D130" s="116">
        <f>D131+D132+D133</f>
        <v>262000</v>
      </c>
      <c r="E130" s="116">
        <f>E131+E132+E133</f>
        <v>253000</v>
      </c>
      <c r="F130" s="116">
        <f>F131+F132+F133</f>
        <v>262000</v>
      </c>
    </row>
    <row r="131" spans="1:6" ht="33">
      <c r="A131" s="41" t="s">
        <v>130</v>
      </c>
      <c r="B131" s="58" t="s">
        <v>464</v>
      </c>
      <c r="C131" s="60">
        <v>240</v>
      </c>
      <c r="D131" s="116">
        <f>'Вед. 2020'!G288+'Вед. 2020'!G436</f>
        <v>74000</v>
      </c>
      <c r="E131" s="116">
        <f>'Вед. 2020'!H288+'Вед. 2020'!H436</f>
        <v>74000</v>
      </c>
      <c r="F131" s="116">
        <f>'Вед. 2020'!I288+'Вед. 2020'!I436</f>
        <v>74000</v>
      </c>
    </row>
    <row r="132" spans="1:6" ht="16.5">
      <c r="A132" s="41" t="s">
        <v>153</v>
      </c>
      <c r="B132" s="58" t="s">
        <v>464</v>
      </c>
      <c r="C132" s="60">
        <v>610</v>
      </c>
      <c r="D132" s="116">
        <f>'Вед. 2020'!G337+'Вед. 2020'!G366+'Вед. 2020'!G257</f>
        <v>180000</v>
      </c>
      <c r="E132" s="116">
        <f>'Вед. 2020'!H337+'Вед. 2020'!H366+'Вед. 2020'!H257</f>
        <v>171000</v>
      </c>
      <c r="F132" s="116">
        <f>'Вед. 2020'!I337+'Вед. 2020'!I366+'Вед. 2020'!I257</f>
        <v>180000</v>
      </c>
    </row>
    <row r="133" spans="1:6" ht="33">
      <c r="A133" s="41" t="s">
        <v>142</v>
      </c>
      <c r="B133" s="58" t="s">
        <v>464</v>
      </c>
      <c r="C133" s="60">
        <v>630</v>
      </c>
      <c r="D133" s="116">
        <f>'Вед. 2020'!G437</f>
        <v>8000</v>
      </c>
      <c r="E133" s="116">
        <f>'Вед. 2020'!H437</f>
        <v>8000</v>
      </c>
      <c r="F133" s="116">
        <f>'Вед. 2020'!I437</f>
        <v>8000</v>
      </c>
    </row>
    <row r="134" spans="1:6" ht="49.5">
      <c r="A134" s="41" t="s">
        <v>1140</v>
      </c>
      <c r="B134" s="117" t="s">
        <v>230</v>
      </c>
      <c r="C134" s="60"/>
      <c r="D134" s="116">
        <f>D135</f>
        <v>4151000</v>
      </c>
      <c r="E134" s="116">
        <f>E135</f>
        <v>4303000</v>
      </c>
      <c r="F134" s="116">
        <f>F135</f>
        <v>4303000</v>
      </c>
    </row>
    <row r="135" spans="1:6" ht="16.5">
      <c r="A135" s="41" t="s">
        <v>307</v>
      </c>
      <c r="B135" s="58" t="s">
        <v>308</v>
      </c>
      <c r="C135" s="60"/>
      <c r="D135" s="116">
        <f>D139+D136+D145+D141+D143</f>
        <v>4151000</v>
      </c>
      <c r="E135" s="116">
        <f>E139+E136+E145+E141+E143</f>
        <v>4303000</v>
      </c>
      <c r="F135" s="116">
        <f>F139+F136+F145+F141+F143</f>
        <v>4303000</v>
      </c>
    </row>
    <row r="136" spans="1:6" ht="33">
      <c r="A136" s="41" t="s">
        <v>136</v>
      </c>
      <c r="B136" s="58" t="s">
        <v>310</v>
      </c>
      <c r="C136" s="60"/>
      <c r="D136" s="116">
        <f>D137+D138</f>
        <v>3537263</v>
      </c>
      <c r="E136" s="116">
        <f>E137+E138</f>
        <v>3535727</v>
      </c>
      <c r="F136" s="116">
        <f>F137+F138</f>
        <v>3535727</v>
      </c>
    </row>
    <row r="137" spans="1:6" ht="33">
      <c r="A137" s="41" t="s">
        <v>127</v>
      </c>
      <c r="B137" s="58" t="s">
        <v>310</v>
      </c>
      <c r="C137" s="60">
        <v>120</v>
      </c>
      <c r="D137" s="116">
        <f>'Вед. 2020'!G88</f>
        <v>3527200</v>
      </c>
      <c r="E137" s="116">
        <f>'Вед. 2020'!H88</f>
        <v>3527200</v>
      </c>
      <c r="F137" s="116">
        <f>'Вед. 2020'!I88</f>
        <v>3527200</v>
      </c>
    </row>
    <row r="138" spans="1:6" ht="33">
      <c r="A138" s="41" t="s">
        <v>130</v>
      </c>
      <c r="B138" s="58" t="s">
        <v>310</v>
      </c>
      <c r="C138" s="60">
        <v>240</v>
      </c>
      <c r="D138" s="116">
        <f>'Вед. 2020'!G89</f>
        <v>10063</v>
      </c>
      <c r="E138" s="116">
        <f>'Вед. 2020'!H89</f>
        <v>8527</v>
      </c>
      <c r="F138" s="116">
        <f>'Вед. 2020'!I89</f>
        <v>8527</v>
      </c>
    </row>
    <row r="139" spans="1:6" ht="49.5">
      <c r="A139" s="41" t="s">
        <v>138</v>
      </c>
      <c r="B139" s="58" t="s">
        <v>309</v>
      </c>
      <c r="C139" s="60"/>
      <c r="D139" s="116">
        <f>D140</f>
        <v>40000</v>
      </c>
      <c r="E139" s="116">
        <f>E140</f>
        <v>40000</v>
      </c>
      <c r="F139" s="116">
        <f>F140</f>
        <v>40000</v>
      </c>
    </row>
    <row r="140" spans="1:6" ht="33">
      <c r="A140" s="41" t="s">
        <v>130</v>
      </c>
      <c r="B140" s="58" t="s">
        <v>309</v>
      </c>
      <c r="C140" s="60">
        <v>240</v>
      </c>
      <c r="D140" s="116">
        <f>'Вед. 2020'!G130</f>
        <v>40000</v>
      </c>
      <c r="E140" s="116">
        <f>'Вед. 2020'!H130</f>
        <v>40000</v>
      </c>
      <c r="F140" s="116">
        <f>'Вед. 2020'!I130</f>
        <v>40000</v>
      </c>
    </row>
    <row r="141" spans="1:6" ht="33">
      <c r="A141" s="41" t="s">
        <v>1292</v>
      </c>
      <c r="B141" s="18" t="s">
        <v>1293</v>
      </c>
      <c r="C141" s="59"/>
      <c r="D141" s="43">
        <f aca="true" t="shared" si="8" ref="D141:F143">D142</f>
        <v>271000</v>
      </c>
      <c r="E141" s="43">
        <f t="shared" si="8"/>
        <v>423000</v>
      </c>
      <c r="F141" s="43">
        <f t="shared" si="8"/>
        <v>423000</v>
      </c>
    </row>
    <row r="142" spans="1:6" ht="33">
      <c r="A142" s="41" t="s">
        <v>130</v>
      </c>
      <c r="B142" s="18" t="s">
        <v>1293</v>
      </c>
      <c r="C142" s="59">
        <v>240</v>
      </c>
      <c r="D142" s="43">
        <f>'Вед. 2020'!G132</f>
        <v>271000</v>
      </c>
      <c r="E142" s="43">
        <f>'Вед. 2020'!H132</f>
        <v>423000</v>
      </c>
      <c r="F142" s="43">
        <f>'Вед. 2020'!I132</f>
        <v>423000</v>
      </c>
    </row>
    <row r="143" spans="1:6" ht="49.5">
      <c r="A143" s="41" t="s">
        <v>1294</v>
      </c>
      <c r="B143" s="18" t="s">
        <v>1295</v>
      </c>
      <c r="C143" s="59"/>
      <c r="D143" s="43">
        <f t="shared" si="8"/>
        <v>2737</v>
      </c>
      <c r="E143" s="43">
        <f t="shared" si="8"/>
        <v>4273</v>
      </c>
      <c r="F143" s="43">
        <f t="shared" si="8"/>
        <v>4273</v>
      </c>
    </row>
    <row r="144" spans="1:6" ht="33">
      <c r="A144" s="41" t="s">
        <v>130</v>
      </c>
      <c r="B144" s="18" t="s">
        <v>1295</v>
      </c>
      <c r="C144" s="59">
        <v>240</v>
      </c>
      <c r="D144" s="43">
        <f>'Вед. 2020'!G134</f>
        <v>2737</v>
      </c>
      <c r="E144" s="43">
        <f>'Вед. 2020'!H134</f>
        <v>4273</v>
      </c>
      <c r="F144" s="43">
        <f>'Вед. 2020'!I134</f>
        <v>4273</v>
      </c>
    </row>
    <row r="145" spans="1:6" ht="49.5">
      <c r="A145" s="41" t="s">
        <v>195</v>
      </c>
      <c r="B145" s="58" t="s">
        <v>448</v>
      </c>
      <c r="C145" s="60"/>
      <c r="D145" s="116">
        <f>D146</f>
        <v>300000</v>
      </c>
      <c r="E145" s="116">
        <f>E146</f>
        <v>300000</v>
      </c>
      <c r="F145" s="116">
        <f>F146</f>
        <v>300000</v>
      </c>
    </row>
    <row r="146" spans="1:6" ht="16.5">
      <c r="A146" s="41" t="s">
        <v>39</v>
      </c>
      <c r="B146" s="58" t="s">
        <v>448</v>
      </c>
      <c r="C146" s="60">
        <v>540</v>
      </c>
      <c r="D146" s="116">
        <f>'Вед. 2020'!G608</f>
        <v>300000</v>
      </c>
      <c r="E146" s="116">
        <f>'Вед. 2020'!H608</f>
        <v>300000</v>
      </c>
      <c r="F146" s="116">
        <f>'Вед. 2020'!I608</f>
        <v>300000</v>
      </c>
    </row>
    <row r="147" spans="1:6" ht="18.75">
      <c r="A147" s="41" t="s">
        <v>1125</v>
      </c>
      <c r="B147" s="117" t="s">
        <v>221</v>
      </c>
      <c r="C147" s="60"/>
      <c r="D147" s="116">
        <f>D148+D162+D178+D190+D200</f>
        <v>74384259</v>
      </c>
      <c r="E147" s="116">
        <f>E148+E162+E178+E190+E200</f>
        <v>80468859</v>
      </c>
      <c r="F147" s="116">
        <f>F148+F162+F178+F190+F200</f>
        <v>73205859</v>
      </c>
    </row>
    <row r="148" spans="1:6" ht="33">
      <c r="A148" s="40" t="s">
        <v>158</v>
      </c>
      <c r="B148" s="58" t="s">
        <v>264</v>
      </c>
      <c r="C148" s="60"/>
      <c r="D148" s="116">
        <f>D149+D159</f>
        <v>20625743</v>
      </c>
      <c r="E148" s="116">
        <f>E149+E159</f>
        <v>27507943</v>
      </c>
      <c r="F148" s="116">
        <f>F149+F159</f>
        <v>20599943</v>
      </c>
    </row>
    <row r="149" spans="1:6" ht="16.5">
      <c r="A149" s="69" t="s">
        <v>346</v>
      </c>
      <c r="B149" s="58" t="s">
        <v>347</v>
      </c>
      <c r="C149" s="60"/>
      <c r="D149" s="116">
        <f>D150+D152+D154+D156</f>
        <v>20625743</v>
      </c>
      <c r="E149" s="116">
        <f>E150+E152+E154+E156</f>
        <v>20507943</v>
      </c>
      <c r="F149" s="116">
        <f>F150+F152+F154+F156</f>
        <v>20599943</v>
      </c>
    </row>
    <row r="150" spans="1:6" ht="33">
      <c r="A150" s="40" t="s">
        <v>162</v>
      </c>
      <c r="B150" s="58" t="s">
        <v>348</v>
      </c>
      <c r="C150" s="60"/>
      <c r="D150" s="116">
        <f>D151</f>
        <v>18954922</v>
      </c>
      <c r="E150" s="116">
        <f>E151</f>
        <v>18952922</v>
      </c>
      <c r="F150" s="116">
        <f>F151</f>
        <v>18952922</v>
      </c>
    </row>
    <row r="151" spans="1:6" ht="16.5">
      <c r="A151" s="41" t="s">
        <v>153</v>
      </c>
      <c r="B151" s="58" t="s">
        <v>348</v>
      </c>
      <c r="C151" s="60">
        <v>610</v>
      </c>
      <c r="D151" s="116">
        <f>'Вед. 2020'!G371</f>
        <v>18954922</v>
      </c>
      <c r="E151" s="116">
        <f>'Вед. 2020'!H371</f>
        <v>18952922</v>
      </c>
      <c r="F151" s="116">
        <f>'Вед. 2020'!I371</f>
        <v>18952922</v>
      </c>
    </row>
    <row r="152" spans="1:6" ht="33">
      <c r="A152" s="69" t="s">
        <v>139</v>
      </c>
      <c r="B152" s="58" t="s">
        <v>349</v>
      </c>
      <c r="C152" s="60"/>
      <c r="D152" s="116">
        <f>D153</f>
        <v>379000</v>
      </c>
      <c r="E152" s="116">
        <f>E153</f>
        <v>373181</v>
      </c>
      <c r="F152" s="116">
        <f>F153</f>
        <v>387000</v>
      </c>
    </row>
    <row r="153" spans="1:6" ht="16.5">
      <c r="A153" s="41" t="s">
        <v>153</v>
      </c>
      <c r="B153" s="58" t="s">
        <v>349</v>
      </c>
      <c r="C153" s="60">
        <v>610</v>
      </c>
      <c r="D153" s="116">
        <f>'Вед. 2020'!G373</f>
        <v>379000</v>
      </c>
      <c r="E153" s="116">
        <f>'Вед. 2020'!H373</f>
        <v>373181</v>
      </c>
      <c r="F153" s="116">
        <f>'Вед. 2020'!I373</f>
        <v>387000</v>
      </c>
    </row>
    <row r="154" spans="1:6" ht="16.5">
      <c r="A154" s="41" t="s">
        <v>447</v>
      </c>
      <c r="B154" s="18" t="s">
        <v>526</v>
      </c>
      <c r="C154" s="59"/>
      <c r="D154" s="43">
        <f>D155</f>
        <v>109981</v>
      </c>
      <c r="E154" s="43">
        <f>E155</f>
        <v>0</v>
      </c>
      <c r="F154" s="43">
        <f>F155</f>
        <v>78181</v>
      </c>
    </row>
    <row r="155" spans="1:6" ht="16.5">
      <c r="A155" s="41" t="s">
        <v>153</v>
      </c>
      <c r="B155" s="18" t="s">
        <v>526</v>
      </c>
      <c r="C155" s="59">
        <v>610</v>
      </c>
      <c r="D155" s="43">
        <f>'Вед. 2020'!G375</f>
        <v>109981</v>
      </c>
      <c r="E155" s="43">
        <f>'Вед. 2020'!H375</f>
        <v>0</v>
      </c>
      <c r="F155" s="43">
        <f>'Вед. 2020'!I375</f>
        <v>78181</v>
      </c>
    </row>
    <row r="156" spans="1:6" ht="54" customHeight="1">
      <c r="A156" s="74" t="s">
        <v>1281</v>
      </c>
      <c r="B156" s="18" t="s">
        <v>1305</v>
      </c>
      <c r="C156" s="65"/>
      <c r="D156" s="43">
        <f>D157+D158</f>
        <v>1181840</v>
      </c>
      <c r="E156" s="43">
        <f>E157+E158</f>
        <v>1181840</v>
      </c>
      <c r="F156" s="43">
        <f>F157+F158</f>
        <v>1181840</v>
      </c>
    </row>
    <row r="157" spans="1:6" ht="16.5">
      <c r="A157" s="74" t="s">
        <v>1280</v>
      </c>
      <c r="B157" s="18" t="s">
        <v>1305</v>
      </c>
      <c r="C157" s="65">
        <v>520</v>
      </c>
      <c r="D157" s="43">
        <f>'Вед. 2020'!G661</f>
        <v>383838</v>
      </c>
      <c r="E157" s="43">
        <f>'Вед. 2020'!H661</f>
        <v>0</v>
      </c>
      <c r="F157" s="43">
        <f>'Вед. 2020'!I661</f>
        <v>0</v>
      </c>
    </row>
    <row r="158" spans="1:6" ht="16.5">
      <c r="A158" s="41" t="s">
        <v>153</v>
      </c>
      <c r="B158" s="18" t="s">
        <v>1305</v>
      </c>
      <c r="C158" s="65">
        <v>610</v>
      </c>
      <c r="D158" s="43">
        <f>'Вед. 2020'!G377</f>
        <v>798002</v>
      </c>
      <c r="E158" s="43">
        <f>'Вед. 2020'!H377</f>
        <v>1181840</v>
      </c>
      <c r="F158" s="43">
        <f>'Вед. 2020'!I377</f>
        <v>1181840</v>
      </c>
    </row>
    <row r="159" spans="1:6" ht="16.5" hidden="1">
      <c r="A159" s="41" t="s">
        <v>1300</v>
      </c>
      <c r="B159" s="18" t="s">
        <v>1303</v>
      </c>
      <c r="C159" s="59"/>
      <c r="D159" s="43">
        <f aca="true" t="shared" si="9" ref="D159:F160">D160</f>
        <v>0</v>
      </c>
      <c r="E159" s="43">
        <f t="shared" si="9"/>
        <v>7000000</v>
      </c>
      <c r="F159" s="43">
        <f t="shared" si="9"/>
        <v>0</v>
      </c>
    </row>
    <row r="160" spans="1:6" ht="33" hidden="1">
      <c r="A160" s="41" t="s">
        <v>1301</v>
      </c>
      <c r="B160" s="18" t="s">
        <v>1302</v>
      </c>
      <c r="C160" s="59"/>
      <c r="D160" s="43">
        <f t="shared" si="9"/>
        <v>0</v>
      </c>
      <c r="E160" s="43">
        <f t="shared" si="9"/>
        <v>7000000</v>
      </c>
      <c r="F160" s="43">
        <f t="shared" si="9"/>
        <v>0</v>
      </c>
    </row>
    <row r="161" spans="1:6" ht="16.5" hidden="1">
      <c r="A161" s="41" t="s">
        <v>153</v>
      </c>
      <c r="B161" s="18" t="s">
        <v>1302</v>
      </c>
      <c r="C161" s="59">
        <v>610</v>
      </c>
      <c r="D161" s="43">
        <f>'Вед. 2020'!G380</f>
        <v>0</v>
      </c>
      <c r="E161" s="43">
        <f>'Вед. 2020'!H380</f>
        <v>7000000</v>
      </c>
      <c r="F161" s="43">
        <f>'Вед. 2020'!I380</f>
        <v>0</v>
      </c>
    </row>
    <row r="162" spans="1:6" ht="16.5">
      <c r="A162" s="40" t="s">
        <v>506</v>
      </c>
      <c r="B162" s="58" t="s">
        <v>265</v>
      </c>
      <c r="C162" s="60"/>
      <c r="D162" s="116">
        <f>D163+D168+D175</f>
        <v>31180290</v>
      </c>
      <c r="E162" s="116">
        <f>E163+E168+E175</f>
        <v>30391690</v>
      </c>
      <c r="F162" s="116">
        <f>F163+F168+F175</f>
        <v>30391690</v>
      </c>
    </row>
    <row r="163" spans="1:6" ht="16.5">
      <c r="A163" s="40" t="s">
        <v>350</v>
      </c>
      <c r="B163" s="58" t="s">
        <v>351</v>
      </c>
      <c r="C163" s="60"/>
      <c r="D163" s="116">
        <f>D164+D166</f>
        <v>27689290</v>
      </c>
      <c r="E163" s="116">
        <f>E164+E166</f>
        <v>27390290</v>
      </c>
      <c r="F163" s="116">
        <f>F164+F166</f>
        <v>27390290</v>
      </c>
    </row>
    <row r="164" spans="1:6" ht="33">
      <c r="A164" s="40" t="s">
        <v>161</v>
      </c>
      <c r="B164" s="58" t="s">
        <v>352</v>
      </c>
      <c r="C164" s="60"/>
      <c r="D164" s="116">
        <f>D165</f>
        <v>27060290</v>
      </c>
      <c r="E164" s="116">
        <f>E165</f>
        <v>27060290</v>
      </c>
      <c r="F164" s="116">
        <f>F165</f>
        <v>27060290</v>
      </c>
    </row>
    <row r="165" spans="1:6" ht="16.5">
      <c r="A165" s="41" t="s">
        <v>153</v>
      </c>
      <c r="B165" s="58" t="s">
        <v>352</v>
      </c>
      <c r="C165" s="60">
        <v>610</v>
      </c>
      <c r="D165" s="116">
        <f>'Вед. 2020'!G384</f>
        <v>27060290</v>
      </c>
      <c r="E165" s="116">
        <f>'Вед. 2020'!H384</f>
        <v>27060290</v>
      </c>
      <c r="F165" s="116">
        <f>'Вед. 2020'!I384</f>
        <v>27060290</v>
      </c>
    </row>
    <row r="166" spans="1:6" ht="33">
      <c r="A166" s="40" t="s">
        <v>139</v>
      </c>
      <c r="B166" s="58" t="s">
        <v>353</v>
      </c>
      <c r="C166" s="60"/>
      <c r="D166" s="116">
        <f>D167</f>
        <v>629000</v>
      </c>
      <c r="E166" s="116">
        <f>E167</f>
        <v>330000</v>
      </c>
      <c r="F166" s="116">
        <f>F167</f>
        <v>330000</v>
      </c>
    </row>
    <row r="167" spans="1:6" ht="16.5">
      <c r="A167" s="41" t="s">
        <v>153</v>
      </c>
      <c r="B167" s="58" t="s">
        <v>353</v>
      </c>
      <c r="C167" s="60">
        <v>610</v>
      </c>
      <c r="D167" s="116">
        <f>'Вед. 2020'!G386</f>
        <v>629000</v>
      </c>
      <c r="E167" s="116">
        <f>'Вед. 2020'!H386</f>
        <v>330000</v>
      </c>
      <c r="F167" s="116">
        <f>'Вед. 2020'!I386</f>
        <v>330000</v>
      </c>
    </row>
    <row r="168" spans="1:6" ht="16.5">
      <c r="A168" s="40" t="s">
        <v>354</v>
      </c>
      <c r="B168" s="58" t="s">
        <v>355</v>
      </c>
      <c r="C168" s="60"/>
      <c r="D168" s="116">
        <f>D169+D171+D173</f>
        <v>3210200</v>
      </c>
      <c r="E168" s="116">
        <f>E169+E171+E173</f>
        <v>3001400</v>
      </c>
      <c r="F168" s="116">
        <f>F169+F171+F173</f>
        <v>3001400</v>
      </c>
    </row>
    <row r="169" spans="1:6" ht="49.5">
      <c r="A169" s="40" t="s">
        <v>546</v>
      </c>
      <c r="B169" s="18" t="s">
        <v>547</v>
      </c>
      <c r="C169" s="59"/>
      <c r="D169" s="43">
        <f>D170</f>
        <v>2612000</v>
      </c>
      <c r="E169" s="43">
        <f>E170</f>
        <v>2612000</v>
      </c>
      <c r="F169" s="43">
        <f>F170</f>
        <v>2612000</v>
      </c>
    </row>
    <row r="170" spans="1:6" ht="16.5">
      <c r="A170" s="41" t="s">
        <v>153</v>
      </c>
      <c r="B170" s="18" t="s">
        <v>547</v>
      </c>
      <c r="C170" s="59">
        <v>610</v>
      </c>
      <c r="D170" s="43">
        <f>'Вед. 2020'!G389</f>
        <v>2612000</v>
      </c>
      <c r="E170" s="43">
        <f>'Вед. 2020'!H389</f>
        <v>2612000</v>
      </c>
      <c r="F170" s="43">
        <f>'Вед. 2020'!I389</f>
        <v>2612000</v>
      </c>
    </row>
    <row r="171" spans="1:6" ht="33">
      <c r="A171" s="40" t="s">
        <v>139</v>
      </c>
      <c r="B171" s="58" t="s">
        <v>445</v>
      </c>
      <c r="C171" s="60"/>
      <c r="D171" s="116">
        <f>D172</f>
        <v>255000</v>
      </c>
      <c r="E171" s="116">
        <f>E172</f>
        <v>255000</v>
      </c>
      <c r="F171" s="116">
        <f>F172</f>
        <v>255000</v>
      </c>
    </row>
    <row r="172" spans="1:6" ht="16.5">
      <c r="A172" s="41" t="s">
        <v>153</v>
      </c>
      <c r="B172" s="58" t="s">
        <v>445</v>
      </c>
      <c r="C172" s="60">
        <v>610</v>
      </c>
      <c r="D172" s="116">
        <f>'Вед. 2020'!G391</f>
        <v>255000</v>
      </c>
      <c r="E172" s="116">
        <f>'Вед. 2020'!H391</f>
        <v>255000</v>
      </c>
      <c r="F172" s="116">
        <f>'Вед. 2020'!I391</f>
        <v>255000</v>
      </c>
    </row>
    <row r="173" spans="1:6" ht="16.5">
      <c r="A173" s="40" t="s">
        <v>356</v>
      </c>
      <c r="B173" s="58" t="s">
        <v>420</v>
      </c>
      <c r="C173" s="60"/>
      <c r="D173" s="116">
        <f>D174</f>
        <v>343200</v>
      </c>
      <c r="E173" s="116">
        <f>E174</f>
        <v>134400</v>
      </c>
      <c r="F173" s="116">
        <f>F174</f>
        <v>134400</v>
      </c>
    </row>
    <row r="174" spans="1:6" ht="16.5">
      <c r="A174" s="40" t="s">
        <v>150</v>
      </c>
      <c r="B174" s="58" t="s">
        <v>420</v>
      </c>
      <c r="C174" s="60">
        <v>620</v>
      </c>
      <c r="D174" s="116">
        <f>'Вед. 2020'!G393</f>
        <v>343200</v>
      </c>
      <c r="E174" s="116">
        <f>'Вед. 2020'!H393</f>
        <v>134400</v>
      </c>
      <c r="F174" s="116">
        <f>'Вед. 2020'!I393</f>
        <v>134400</v>
      </c>
    </row>
    <row r="175" spans="1:6" ht="16.5">
      <c r="A175" s="71" t="s">
        <v>357</v>
      </c>
      <c r="B175" s="58" t="s">
        <v>358</v>
      </c>
      <c r="C175" s="60"/>
      <c r="D175" s="116">
        <f aca="true" t="shared" si="10" ref="D175:F176">D176</f>
        <v>280800</v>
      </c>
      <c r="E175" s="116">
        <f t="shared" si="10"/>
        <v>0</v>
      </c>
      <c r="F175" s="116">
        <f t="shared" si="10"/>
        <v>0</v>
      </c>
    </row>
    <row r="176" spans="1:6" ht="33">
      <c r="A176" s="40" t="s">
        <v>139</v>
      </c>
      <c r="B176" s="58" t="s">
        <v>359</v>
      </c>
      <c r="C176" s="60"/>
      <c r="D176" s="116">
        <f t="shared" si="10"/>
        <v>280800</v>
      </c>
      <c r="E176" s="116">
        <f t="shared" si="10"/>
        <v>0</v>
      </c>
      <c r="F176" s="116">
        <f t="shared" si="10"/>
        <v>0</v>
      </c>
    </row>
    <row r="177" spans="1:6" ht="33">
      <c r="A177" s="41" t="s">
        <v>130</v>
      </c>
      <c r="B177" s="58" t="s">
        <v>359</v>
      </c>
      <c r="C177" s="60">
        <v>240</v>
      </c>
      <c r="D177" s="116">
        <f>'Вед. 2020'!G94</f>
        <v>280800</v>
      </c>
      <c r="E177" s="116">
        <f>'Вед. 2020'!H94</f>
        <v>0</v>
      </c>
      <c r="F177" s="116">
        <f>'Вед. 2020'!I94</f>
        <v>0</v>
      </c>
    </row>
    <row r="178" spans="1:6" ht="16.5">
      <c r="A178" s="76" t="s">
        <v>252</v>
      </c>
      <c r="B178" s="58" t="s">
        <v>266</v>
      </c>
      <c r="C178" s="60"/>
      <c r="D178" s="116">
        <f>D179+D182+D185</f>
        <v>1018000</v>
      </c>
      <c r="E178" s="116">
        <f>E179+E182+E185</f>
        <v>1009000</v>
      </c>
      <c r="F178" s="116">
        <f>F179+F182+F185</f>
        <v>654000</v>
      </c>
    </row>
    <row r="179" spans="1:6" ht="16.5">
      <c r="A179" s="69" t="s">
        <v>360</v>
      </c>
      <c r="B179" s="58" t="s">
        <v>361</v>
      </c>
      <c r="C179" s="60"/>
      <c r="D179" s="116">
        <f aca="true" t="shared" si="11" ref="D179:F180">D180</f>
        <v>364000</v>
      </c>
      <c r="E179" s="116">
        <f t="shared" si="11"/>
        <v>350000</v>
      </c>
      <c r="F179" s="116">
        <f t="shared" si="11"/>
        <v>0</v>
      </c>
    </row>
    <row r="180" spans="1:6" ht="33">
      <c r="A180" s="69" t="s">
        <v>139</v>
      </c>
      <c r="B180" s="58" t="s">
        <v>362</v>
      </c>
      <c r="C180" s="60"/>
      <c r="D180" s="116">
        <f t="shared" si="11"/>
        <v>364000</v>
      </c>
      <c r="E180" s="116">
        <f t="shared" si="11"/>
        <v>350000</v>
      </c>
      <c r="F180" s="116">
        <f t="shared" si="11"/>
        <v>0</v>
      </c>
    </row>
    <row r="181" spans="1:6" ht="16.5">
      <c r="A181" s="41" t="s">
        <v>153</v>
      </c>
      <c r="B181" s="58" t="s">
        <v>362</v>
      </c>
      <c r="C181" s="60">
        <v>610</v>
      </c>
      <c r="D181" s="116">
        <f>'Вед. 2020'!G342</f>
        <v>364000</v>
      </c>
      <c r="E181" s="116">
        <f>'Вед. 2020'!H342</f>
        <v>350000</v>
      </c>
      <c r="F181" s="116">
        <f>'Вед. 2020'!I342</f>
        <v>0</v>
      </c>
    </row>
    <row r="182" spans="1:6" ht="16.5">
      <c r="A182" s="69" t="s">
        <v>363</v>
      </c>
      <c r="B182" s="58" t="s">
        <v>364</v>
      </c>
      <c r="C182" s="60"/>
      <c r="D182" s="116">
        <f aca="true" t="shared" si="12" ref="D182:F183">D183</f>
        <v>525000</v>
      </c>
      <c r="E182" s="116">
        <f t="shared" si="12"/>
        <v>530000</v>
      </c>
      <c r="F182" s="116">
        <f t="shared" si="12"/>
        <v>525000</v>
      </c>
    </row>
    <row r="183" spans="1:6" ht="33">
      <c r="A183" s="69" t="s">
        <v>139</v>
      </c>
      <c r="B183" s="58" t="s">
        <v>365</v>
      </c>
      <c r="C183" s="60"/>
      <c r="D183" s="116">
        <f t="shared" si="12"/>
        <v>525000</v>
      </c>
      <c r="E183" s="116">
        <f t="shared" si="12"/>
        <v>530000</v>
      </c>
      <c r="F183" s="116">
        <f t="shared" si="12"/>
        <v>525000</v>
      </c>
    </row>
    <row r="184" spans="1:6" ht="16.5">
      <c r="A184" s="41" t="s">
        <v>153</v>
      </c>
      <c r="B184" s="58" t="s">
        <v>365</v>
      </c>
      <c r="C184" s="60">
        <v>610</v>
      </c>
      <c r="D184" s="116">
        <f>'Вед. 2020'!G397</f>
        <v>525000</v>
      </c>
      <c r="E184" s="116">
        <f>'Вед. 2020'!H397</f>
        <v>530000</v>
      </c>
      <c r="F184" s="116">
        <f>'Вед. 2020'!I397</f>
        <v>525000</v>
      </c>
    </row>
    <row r="185" spans="1:6" ht="33">
      <c r="A185" s="69" t="s">
        <v>446</v>
      </c>
      <c r="B185" s="58" t="s">
        <v>366</v>
      </c>
      <c r="C185" s="60"/>
      <c r="D185" s="116">
        <f>D186</f>
        <v>129000</v>
      </c>
      <c r="E185" s="116">
        <f>E186</f>
        <v>129000</v>
      </c>
      <c r="F185" s="116">
        <f>F186</f>
        <v>129000</v>
      </c>
    </row>
    <row r="186" spans="1:6" ht="33">
      <c r="A186" s="69" t="s">
        <v>206</v>
      </c>
      <c r="B186" s="58" t="s">
        <v>367</v>
      </c>
      <c r="C186" s="60"/>
      <c r="D186" s="116">
        <f>D187+D188+D189</f>
        <v>129000</v>
      </c>
      <c r="E186" s="116">
        <f>E187+E188+E189</f>
        <v>129000</v>
      </c>
      <c r="F186" s="116">
        <f>F187+F188+F189</f>
        <v>129000</v>
      </c>
    </row>
    <row r="187" spans="1:6" ht="33">
      <c r="A187" s="41" t="s">
        <v>130</v>
      </c>
      <c r="B187" s="58" t="s">
        <v>367</v>
      </c>
      <c r="C187" s="60">
        <v>240</v>
      </c>
      <c r="D187" s="116">
        <f>'Вед. 2020'!G293</f>
        <v>9000</v>
      </c>
      <c r="E187" s="116">
        <f>'Вед. 2020'!H293</f>
        <v>9000</v>
      </c>
      <c r="F187" s="116">
        <f>'Вед. 2020'!I293</f>
        <v>9000</v>
      </c>
    </row>
    <row r="188" spans="1:6" ht="16.5">
      <c r="A188" s="41" t="s">
        <v>153</v>
      </c>
      <c r="B188" s="58" t="s">
        <v>367</v>
      </c>
      <c r="C188" s="60">
        <v>610</v>
      </c>
      <c r="D188" s="116">
        <f>'Вед. 2020'!G400</f>
        <v>105000</v>
      </c>
      <c r="E188" s="116">
        <f>'Вед. 2020'!H400</f>
        <v>105000</v>
      </c>
      <c r="F188" s="116">
        <f>'Вед. 2020'!I400</f>
        <v>105000</v>
      </c>
    </row>
    <row r="189" spans="1:6" ht="16.5">
      <c r="A189" s="40" t="s">
        <v>150</v>
      </c>
      <c r="B189" s="58" t="s">
        <v>367</v>
      </c>
      <c r="C189" s="60">
        <v>620</v>
      </c>
      <c r="D189" s="116">
        <f>'Вед. 2020'!G401</f>
        <v>15000</v>
      </c>
      <c r="E189" s="116">
        <f>'Вед. 2020'!H401</f>
        <v>15000</v>
      </c>
      <c r="F189" s="116">
        <f>'Вед. 2020'!I401</f>
        <v>15000</v>
      </c>
    </row>
    <row r="190" spans="1:6" ht="16.5">
      <c r="A190" s="76" t="s">
        <v>317</v>
      </c>
      <c r="B190" s="58" t="s">
        <v>277</v>
      </c>
      <c r="C190" s="60"/>
      <c r="D190" s="116">
        <f>D191</f>
        <v>19591600</v>
      </c>
      <c r="E190" s="116">
        <f>E191</f>
        <v>19591600</v>
      </c>
      <c r="F190" s="116">
        <f>F191</f>
        <v>19591600</v>
      </c>
    </row>
    <row r="191" spans="1:6" s="101" customFormat="1" ht="16.5">
      <c r="A191" s="69" t="s">
        <v>368</v>
      </c>
      <c r="B191" s="58" t="s">
        <v>369</v>
      </c>
      <c r="C191" s="60"/>
      <c r="D191" s="116">
        <f>D196+D192</f>
        <v>19591600</v>
      </c>
      <c r="E191" s="116">
        <f>E196+E192</f>
        <v>19591600</v>
      </c>
      <c r="F191" s="116">
        <f>F196+F192</f>
        <v>19591600</v>
      </c>
    </row>
    <row r="192" spans="1:6" s="101" customFormat="1" ht="49.5">
      <c r="A192" s="69" t="s">
        <v>157</v>
      </c>
      <c r="B192" s="58" t="s">
        <v>370</v>
      </c>
      <c r="C192" s="60"/>
      <c r="D192" s="116">
        <f>D193+D194+D195</f>
        <v>15932900</v>
      </c>
      <c r="E192" s="116">
        <f>E193+E194+E195</f>
        <v>15932900</v>
      </c>
      <c r="F192" s="116">
        <f>F193+F194+F195</f>
        <v>15932900</v>
      </c>
    </row>
    <row r="193" spans="1:6" ht="33">
      <c r="A193" s="41" t="s">
        <v>127</v>
      </c>
      <c r="B193" s="58" t="s">
        <v>370</v>
      </c>
      <c r="C193" s="60">
        <v>120</v>
      </c>
      <c r="D193" s="116">
        <f>'Вед. 2020'!G442</f>
        <v>14504000</v>
      </c>
      <c r="E193" s="116">
        <f>'Вед. 2020'!H442</f>
        <v>14504000</v>
      </c>
      <c r="F193" s="116">
        <f>'Вед. 2020'!I442</f>
        <v>14504000</v>
      </c>
    </row>
    <row r="194" spans="1:6" ht="33">
      <c r="A194" s="41" t="s">
        <v>130</v>
      </c>
      <c r="B194" s="58" t="s">
        <v>370</v>
      </c>
      <c r="C194" s="60">
        <v>240</v>
      </c>
      <c r="D194" s="116">
        <f>'Вед. 2020'!G443</f>
        <v>1392900</v>
      </c>
      <c r="E194" s="116">
        <f>'Вед. 2020'!H443</f>
        <v>1392900</v>
      </c>
      <c r="F194" s="116">
        <f>'Вед. 2020'!I443</f>
        <v>1392900</v>
      </c>
    </row>
    <row r="195" spans="1:6" ht="16.5">
      <c r="A195" s="41" t="s">
        <v>132</v>
      </c>
      <c r="B195" s="58" t="s">
        <v>370</v>
      </c>
      <c r="C195" s="60">
        <v>850</v>
      </c>
      <c r="D195" s="116">
        <f>'Вед. 2020'!G444</f>
        <v>36000</v>
      </c>
      <c r="E195" s="116">
        <f>'Вед. 2020'!H444</f>
        <v>36000</v>
      </c>
      <c r="F195" s="116">
        <f>'Вед. 2020'!I444</f>
        <v>36000</v>
      </c>
    </row>
    <row r="196" spans="1:6" s="101" customFormat="1" ht="16.5">
      <c r="A196" s="69" t="s">
        <v>129</v>
      </c>
      <c r="B196" s="18" t="s">
        <v>482</v>
      </c>
      <c r="C196" s="60"/>
      <c r="D196" s="116">
        <f>D197+D198+D199</f>
        <v>3658700</v>
      </c>
      <c r="E196" s="116">
        <f>E197+E198+E199</f>
        <v>3658700</v>
      </c>
      <c r="F196" s="116">
        <f>F197+F198+F199</f>
        <v>3658700</v>
      </c>
    </row>
    <row r="197" spans="1:6" ht="33">
      <c r="A197" s="41" t="s">
        <v>127</v>
      </c>
      <c r="B197" s="18" t="s">
        <v>482</v>
      </c>
      <c r="C197" s="60">
        <v>120</v>
      </c>
      <c r="D197" s="116">
        <f>'Вед. 2020'!G446</f>
        <v>3335700</v>
      </c>
      <c r="E197" s="116">
        <f>'Вед. 2020'!H446</f>
        <v>3335700</v>
      </c>
      <c r="F197" s="116">
        <f>'Вед. 2020'!I446</f>
        <v>3335700</v>
      </c>
    </row>
    <row r="198" spans="1:6" ht="33">
      <c r="A198" s="41" t="s">
        <v>130</v>
      </c>
      <c r="B198" s="18" t="s">
        <v>482</v>
      </c>
      <c r="C198" s="60">
        <v>240</v>
      </c>
      <c r="D198" s="116">
        <f>'Вед. 2020'!G447</f>
        <v>313000</v>
      </c>
      <c r="E198" s="116">
        <f>'Вед. 2020'!H447</f>
        <v>313000</v>
      </c>
      <c r="F198" s="116">
        <f>'Вед. 2020'!I447</f>
        <v>313000</v>
      </c>
    </row>
    <row r="199" spans="1:6" ht="16.5">
      <c r="A199" s="41" t="s">
        <v>132</v>
      </c>
      <c r="B199" s="18" t="s">
        <v>482</v>
      </c>
      <c r="C199" s="60">
        <v>850</v>
      </c>
      <c r="D199" s="116">
        <f>'Вед. 2020'!G448</f>
        <v>10000</v>
      </c>
      <c r="E199" s="116">
        <f>'Вед. 2020'!H448</f>
        <v>10000</v>
      </c>
      <c r="F199" s="116">
        <f>'Вед. 2020'!I448</f>
        <v>10000</v>
      </c>
    </row>
    <row r="200" spans="1:6" ht="16.5">
      <c r="A200" s="41" t="s">
        <v>463</v>
      </c>
      <c r="B200" s="58" t="s">
        <v>459</v>
      </c>
      <c r="C200" s="60"/>
      <c r="D200" s="116">
        <f>D201</f>
        <v>1968626</v>
      </c>
      <c r="E200" s="116">
        <f>E201</f>
        <v>1968626</v>
      </c>
      <c r="F200" s="116">
        <f>F201</f>
        <v>1968626</v>
      </c>
    </row>
    <row r="201" spans="1:6" ht="16.5">
      <c r="A201" s="41" t="s">
        <v>304</v>
      </c>
      <c r="B201" s="58" t="s">
        <v>460</v>
      </c>
      <c r="C201" s="60"/>
      <c r="D201" s="116">
        <f>D202+D204</f>
        <v>1968626</v>
      </c>
      <c r="E201" s="116">
        <f>E202+E204</f>
        <v>1968626</v>
      </c>
      <c r="F201" s="116">
        <f>F202+F204</f>
        <v>1968626</v>
      </c>
    </row>
    <row r="202" spans="1:6" ht="49.5">
      <c r="A202" s="40" t="s">
        <v>488</v>
      </c>
      <c r="B202" s="58" t="s">
        <v>461</v>
      </c>
      <c r="C202" s="60"/>
      <c r="D202" s="116">
        <f>D203</f>
        <v>1665626</v>
      </c>
      <c r="E202" s="116">
        <f>E203</f>
        <v>1665626</v>
      </c>
      <c r="F202" s="116">
        <f>F203</f>
        <v>1665626</v>
      </c>
    </row>
    <row r="203" spans="1:6" ht="16.5">
      <c r="A203" s="41" t="s">
        <v>153</v>
      </c>
      <c r="B203" s="58" t="s">
        <v>461</v>
      </c>
      <c r="C203" s="60">
        <v>610</v>
      </c>
      <c r="D203" s="116">
        <f>'Вед. 2020'!G405</f>
        <v>1665626</v>
      </c>
      <c r="E203" s="116">
        <f>'Вед. 2020'!H405</f>
        <v>1665626</v>
      </c>
      <c r="F203" s="116">
        <f>'Вед. 2020'!I405</f>
        <v>1665626</v>
      </c>
    </row>
    <row r="204" spans="1:6" ht="16.5">
      <c r="A204" s="41" t="s">
        <v>159</v>
      </c>
      <c r="B204" s="58" t="s">
        <v>462</v>
      </c>
      <c r="C204" s="60"/>
      <c r="D204" s="116">
        <f>D205+D206+D207</f>
        <v>303000</v>
      </c>
      <c r="E204" s="116">
        <f>E205+E206+E207</f>
        <v>303000</v>
      </c>
      <c r="F204" s="116">
        <f>F205+F206+F207</f>
        <v>303000</v>
      </c>
    </row>
    <row r="205" spans="1:6" ht="33">
      <c r="A205" s="41" t="s">
        <v>130</v>
      </c>
      <c r="B205" s="58" t="s">
        <v>462</v>
      </c>
      <c r="C205" s="60">
        <v>240</v>
      </c>
      <c r="D205" s="116">
        <f>'Вед. 2020'!G452</f>
        <v>57000</v>
      </c>
      <c r="E205" s="116">
        <f>'Вед. 2020'!H452</f>
        <v>57000</v>
      </c>
      <c r="F205" s="116">
        <f>'Вед. 2020'!I452</f>
        <v>57000</v>
      </c>
    </row>
    <row r="206" spans="1:6" ht="16.5">
      <c r="A206" s="41" t="s">
        <v>153</v>
      </c>
      <c r="B206" s="58" t="s">
        <v>462</v>
      </c>
      <c r="C206" s="60">
        <v>610</v>
      </c>
      <c r="D206" s="116">
        <f>'Вед. 2020'!G407</f>
        <v>216000</v>
      </c>
      <c r="E206" s="116">
        <f>'Вед. 2020'!H407</f>
        <v>216000</v>
      </c>
      <c r="F206" s="116">
        <f>'Вед. 2020'!I407</f>
        <v>216000</v>
      </c>
    </row>
    <row r="207" spans="1:6" ht="33">
      <c r="A207" s="41" t="s">
        <v>142</v>
      </c>
      <c r="B207" s="18" t="s">
        <v>462</v>
      </c>
      <c r="C207" s="59">
        <v>630</v>
      </c>
      <c r="D207" s="43">
        <f>'Вед. 2020'!G453</f>
        <v>30000</v>
      </c>
      <c r="E207" s="43">
        <f>'Вед. 2020'!H453</f>
        <v>30000</v>
      </c>
      <c r="F207" s="43">
        <f>'Вед. 2020'!I453</f>
        <v>30000</v>
      </c>
    </row>
    <row r="208" spans="1:6" ht="33">
      <c r="A208" s="41" t="s">
        <v>1131</v>
      </c>
      <c r="B208" s="117" t="s">
        <v>254</v>
      </c>
      <c r="C208" s="60"/>
      <c r="D208" s="116">
        <f>D209+D213+D224+D228</f>
        <v>4880000</v>
      </c>
      <c r="E208" s="116">
        <f>E209+E213+E224+E228</f>
        <v>1685505</v>
      </c>
      <c r="F208" s="116">
        <f>F209+F213+F224+F228</f>
        <v>126757000</v>
      </c>
    </row>
    <row r="209" spans="1:6" ht="33">
      <c r="A209" s="41" t="s">
        <v>371</v>
      </c>
      <c r="B209" s="58" t="s">
        <v>372</v>
      </c>
      <c r="C209" s="60"/>
      <c r="D209" s="116">
        <f>D210</f>
        <v>235000</v>
      </c>
      <c r="E209" s="116">
        <f>E210</f>
        <v>235000</v>
      </c>
      <c r="F209" s="116">
        <f>F210</f>
        <v>235000</v>
      </c>
    </row>
    <row r="210" spans="1:6" ht="16.5">
      <c r="A210" s="41" t="s">
        <v>163</v>
      </c>
      <c r="B210" s="58" t="s">
        <v>373</v>
      </c>
      <c r="C210" s="60"/>
      <c r="D210" s="116">
        <f>D211+D212</f>
        <v>235000</v>
      </c>
      <c r="E210" s="116">
        <f>E211+E212</f>
        <v>235000</v>
      </c>
      <c r="F210" s="116">
        <f>F211+F212</f>
        <v>235000</v>
      </c>
    </row>
    <row r="211" spans="1:6" ht="33">
      <c r="A211" s="41" t="s">
        <v>130</v>
      </c>
      <c r="B211" s="58" t="s">
        <v>373</v>
      </c>
      <c r="C211" s="60">
        <v>240</v>
      </c>
      <c r="D211" s="116">
        <f>'Вед. 2020'!G469</f>
        <v>85000</v>
      </c>
      <c r="E211" s="116">
        <f>'Вед. 2020'!H469</f>
        <v>85000</v>
      </c>
      <c r="F211" s="116">
        <f>'Вед. 2020'!I469</f>
        <v>85000</v>
      </c>
    </row>
    <row r="212" spans="1:6" ht="16.5">
      <c r="A212" s="41" t="s">
        <v>153</v>
      </c>
      <c r="B212" s="58" t="s">
        <v>373</v>
      </c>
      <c r="C212" s="60">
        <v>610</v>
      </c>
      <c r="D212" s="116">
        <f>'Вед. 2020'!G346</f>
        <v>150000</v>
      </c>
      <c r="E212" s="116">
        <f>'Вед. 2020'!H346</f>
        <v>150000</v>
      </c>
      <c r="F212" s="116">
        <f>'Вед. 2020'!I346</f>
        <v>150000</v>
      </c>
    </row>
    <row r="213" spans="1:6" ht="16.5">
      <c r="A213" s="41" t="s">
        <v>425</v>
      </c>
      <c r="B213" s="58" t="s">
        <v>375</v>
      </c>
      <c r="C213" s="60"/>
      <c r="D213" s="116">
        <f>D216+D214+D218+D220+D222</f>
        <v>4395000</v>
      </c>
      <c r="E213" s="116">
        <f>E216+E214+E218+E220+E222</f>
        <v>1200505</v>
      </c>
      <c r="F213" s="116">
        <f>F216+F214+F218+F220+F222</f>
        <v>0</v>
      </c>
    </row>
    <row r="214" spans="1:6" ht="16.5">
      <c r="A214" s="41" t="s">
        <v>1240</v>
      </c>
      <c r="B214" s="18" t="s">
        <v>1239</v>
      </c>
      <c r="C214" s="59"/>
      <c r="D214" s="43">
        <f>D215</f>
        <v>1020000</v>
      </c>
      <c r="E214" s="43">
        <f>E215</f>
        <v>0</v>
      </c>
      <c r="F214" s="43">
        <f>F215</f>
        <v>0</v>
      </c>
    </row>
    <row r="215" spans="1:6" ht="16.5">
      <c r="A215" s="41" t="s">
        <v>153</v>
      </c>
      <c r="B215" s="18" t="s">
        <v>1239</v>
      </c>
      <c r="C215" s="59">
        <v>610</v>
      </c>
      <c r="D215" s="43">
        <f>'Вед. 2020'!G349</f>
        <v>1020000</v>
      </c>
      <c r="E215" s="43">
        <f>'Вед. 2020'!H349</f>
        <v>0</v>
      </c>
      <c r="F215" s="43">
        <f>'Вед. 2020'!I349</f>
        <v>0</v>
      </c>
    </row>
    <row r="216" spans="1:6" ht="16.5">
      <c r="A216" s="40" t="s">
        <v>447</v>
      </c>
      <c r="B216" s="18" t="s">
        <v>479</v>
      </c>
      <c r="C216" s="59"/>
      <c r="D216" s="116">
        <f>D217</f>
        <v>150000</v>
      </c>
      <c r="E216" s="116">
        <f>E217</f>
        <v>150000</v>
      </c>
      <c r="F216" s="116">
        <f>F217</f>
        <v>0</v>
      </c>
    </row>
    <row r="217" spans="1:6" ht="16.5">
      <c r="A217" s="41" t="s">
        <v>153</v>
      </c>
      <c r="B217" s="18" t="s">
        <v>479</v>
      </c>
      <c r="C217" s="59">
        <v>610</v>
      </c>
      <c r="D217" s="116">
        <f>'Вед. 2020'!G351+'Вед. 2020'!G236</f>
        <v>150000</v>
      </c>
      <c r="E217" s="116">
        <f>'Вед. 2020'!H351+'Вед. 2020'!H236</f>
        <v>150000</v>
      </c>
      <c r="F217" s="116">
        <f>'Вед. 2020'!I351+'Вед. 2020'!I236</f>
        <v>0</v>
      </c>
    </row>
    <row r="218" spans="1:6" ht="16.5">
      <c r="A218" s="41" t="s">
        <v>490</v>
      </c>
      <c r="B218" s="18" t="s">
        <v>491</v>
      </c>
      <c r="C218" s="59"/>
      <c r="D218" s="43">
        <f>D219</f>
        <v>3225000</v>
      </c>
      <c r="E218" s="43">
        <f>E219</f>
        <v>0</v>
      </c>
      <c r="F218" s="43">
        <f>F219</f>
        <v>0</v>
      </c>
    </row>
    <row r="219" spans="1:6" ht="16.5">
      <c r="A219" s="41" t="s">
        <v>164</v>
      </c>
      <c r="B219" s="18" t="s">
        <v>491</v>
      </c>
      <c r="C219" s="59">
        <v>410</v>
      </c>
      <c r="D219" s="43">
        <f>'Вед. 2020'!G472+'Вед. 2020'!G576</f>
        <v>3225000</v>
      </c>
      <c r="E219" s="43">
        <f>'Вед. 2020'!H472+'Вед. 2020'!H576</f>
        <v>0</v>
      </c>
      <c r="F219" s="43">
        <f>'Вед. 2020'!I472+'Вед. 2020'!I576</f>
        <v>0</v>
      </c>
    </row>
    <row r="220" spans="1:6" ht="33" hidden="1">
      <c r="A220" s="41" t="s">
        <v>1283</v>
      </c>
      <c r="B220" s="18" t="s">
        <v>1282</v>
      </c>
      <c r="C220" s="59"/>
      <c r="D220" s="43">
        <f>D221</f>
        <v>0</v>
      </c>
      <c r="E220" s="43">
        <f>E221</f>
        <v>1000000</v>
      </c>
      <c r="F220" s="43">
        <f>F221</f>
        <v>0</v>
      </c>
    </row>
    <row r="221" spans="1:6" ht="16.5" hidden="1">
      <c r="A221" s="41" t="s">
        <v>164</v>
      </c>
      <c r="B221" s="18" t="s">
        <v>1282</v>
      </c>
      <c r="C221" s="59">
        <v>240</v>
      </c>
      <c r="D221" s="43">
        <v>0</v>
      </c>
      <c r="E221" s="43">
        <v>1000000</v>
      </c>
      <c r="F221" s="43">
        <v>0</v>
      </c>
    </row>
    <row r="222" spans="1:6" ht="33" hidden="1">
      <c r="A222" s="41" t="s">
        <v>1284</v>
      </c>
      <c r="B222" s="18" t="s">
        <v>1285</v>
      </c>
      <c r="C222" s="59"/>
      <c r="D222" s="43">
        <f>D223</f>
        <v>0</v>
      </c>
      <c r="E222" s="43">
        <f>E223</f>
        <v>50505</v>
      </c>
      <c r="F222" s="43">
        <f>F223</f>
        <v>0</v>
      </c>
    </row>
    <row r="223" spans="1:6" ht="16.5" hidden="1">
      <c r="A223" s="41" t="s">
        <v>164</v>
      </c>
      <c r="B223" s="18" t="s">
        <v>1285</v>
      </c>
      <c r="C223" s="59">
        <v>410</v>
      </c>
      <c r="D223" s="43">
        <f>'Вед. 2020'!G580</f>
        <v>0</v>
      </c>
      <c r="E223" s="43">
        <f>'Вед. 2020'!H580</f>
        <v>50505</v>
      </c>
      <c r="F223" s="43">
        <f>'Вед. 2020'!I580</f>
        <v>0</v>
      </c>
    </row>
    <row r="224" spans="1:6" ht="33">
      <c r="A224" s="41" t="s">
        <v>374</v>
      </c>
      <c r="B224" s="58" t="s">
        <v>423</v>
      </c>
      <c r="C224" s="60"/>
      <c r="D224" s="116">
        <f>D225</f>
        <v>250000</v>
      </c>
      <c r="E224" s="116">
        <f>E225</f>
        <v>250000</v>
      </c>
      <c r="F224" s="116">
        <f>F225</f>
        <v>250000</v>
      </c>
    </row>
    <row r="225" spans="1:6" ht="16.5">
      <c r="A225" s="41" t="s">
        <v>163</v>
      </c>
      <c r="B225" s="58" t="s">
        <v>424</v>
      </c>
      <c r="C225" s="60"/>
      <c r="D225" s="116">
        <f>D227+D226</f>
        <v>250000</v>
      </c>
      <c r="E225" s="116">
        <f>E227+E226</f>
        <v>250000</v>
      </c>
      <c r="F225" s="116">
        <f>F227+F226</f>
        <v>250000</v>
      </c>
    </row>
    <row r="226" spans="1:6" ht="33">
      <c r="A226" s="41" t="s">
        <v>130</v>
      </c>
      <c r="B226" s="58" t="s">
        <v>424</v>
      </c>
      <c r="C226" s="60">
        <v>240</v>
      </c>
      <c r="D226" s="116">
        <f>'Вед. 2020'!G475</f>
        <v>135000</v>
      </c>
      <c r="E226" s="116">
        <f>'Вед. 2020'!H475</f>
        <v>135000</v>
      </c>
      <c r="F226" s="116">
        <f>'Вед. 2020'!I475</f>
        <v>135000</v>
      </c>
    </row>
    <row r="227" spans="1:6" ht="16.5">
      <c r="A227" s="41" t="s">
        <v>153</v>
      </c>
      <c r="B227" s="58" t="s">
        <v>424</v>
      </c>
      <c r="C227" s="60">
        <v>610</v>
      </c>
      <c r="D227" s="116">
        <f>'Вед. 2020'!G354</f>
        <v>115000</v>
      </c>
      <c r="E227" s="116">
        <f>'Вед. 2020'!H354</f>
        <v>115000</v>
      </c>
      <c r="F227" s="116">
        <f>'Вед. 2020'!I354</f>
        <v>115000</v>
      </c>
    </row>
    <row r="228" spans="1:6" ht="16.5" hidden="1">
      <c r="A228" s="41" t="s">
        <v>1286</v>
      </c>
      <c r="B228" s="18" t="s">
        <v>1289</v>
      </c>
      <c r="C228" s="59"/>
      <c r="D228" s="43">
        <f aca="true" t="shared" si="13" ref="D228:F229">D229</f>
        <v>0</v>
      </c>
      <c r="E228" s="43">
        <f t="shared" si="13"/>
        <v>0</v>
      </c>
      <c r="F228" s="43">
        <f t="shared" si="13"/>
        <v>126272000</v>
      </c>
    </row>
    <row r="229" spans="1:6" ht="69.75" customHeight="1" hidden="1">
      <c r="A229" s="41" t="s">
        <v>1287</v>
      </c>
      <c r="B229" s="18" t="s">
        <v>1288</v>
      </c>
      <c r="C229" s="59"/>
      <c r="D229" s="43">
        <f t="shared" si="13"/>
        <v>0</v>
      </c>
      <c r="E229" s="43">
        <f t="shared" si="13"/>
        <v>0</v>
      </c>
      <c r="F229" s="43">
        <f t="shared" si="13"/>
        <v>126272000</v>
      </c>
    </row>
    <row r="230" spans="1:6" ht="16.5" hidden="1">
      <c r="A230" s="41" t="s">
        <v>164</v>
      </c>
      <c r="B230" s="18" t="s">
        <v>1288</v>
      </c>
      <c r="C230" s="59">
        <v>410</v>
      </c>
      <c r="D230" s="43">
        <f>'Вед. 2020'!G583</f>
        <v>0</v>
      </c>
      <c r="E230" s="43">
        <f>'Вед. 2020'!H583</f>
        <v>0</v>
      </c>
      <c r="F230" s="43">
        <f>'Вед. 2020'!I583</f>
        <v>126272000</v>
      </c>
    </row>
    <row r="231" spans="1:6" ht="18.75">
      <c r="A231" s="41" t="s">
        <v>1129</v>
      </c>
      <c r="B231" s="117" t="s">
        <v>255</v>
      </c>
      <c r="C231" s="60"/>
      <c r="D231" s="116">
        <f>D232+D251+D264</f>
        <v>80461300</v>
      </c>
      <c r="E231" s="116">
        <f>E232+E251+E264</f>
        <v>79301600</v>
      </c>
      <c r="F231" s="116">
        <f>F232+F251+F264</f>
        <v>80189600</v>
      </c>
    </row>
    <row r="232" spans="1:6" ht="33">
      <c r="A232" s="40" t="s">
        <v>507</v>
      </c>
      <c r="B232" s="58" t="s">
        <v>276</v>
      </c>
      <c r="C232" s="60"/>
      <c r="D232" s="116">
        <f>D233+D246</f>
        <v>10304800</v>
      </c>
      <c r="E232" s="116">
        <f>E233+E246</f>
        <v>10314500</v>
      </c>
      <c r="F232" s="116">
        <f>F233+F246</f>
        <v>10294500</v>
      </c>
    </row>
    <row r="233" spans="1:6" ht="33">
      <c r="A233" s="40" t="s">
        <v>388</v>
      </c>
      <c r="B233" s="58" t="s">
        <v>433</v>
      </c>
      <c r="C233" s="60"/>
      <c r="D233" s="116">
        <f>D234+D236+D238+D241+D243</f>
        <v>6365800</v>
      </c>
      <c r="E233" s="116">
        <f>E234+E236+E238+E241+E243</f>
        <v>6375500</v>
      </c>
      <c r="F233" s="116">
        <f>F234+F236+F238+F241+F243</f>
        <v>6355500</v>
      </c>
    </row>
    <row r="234" spans="1:6" ht="16.5">
      <c r="A234" s="40" t="s">
        <v>390</v>
      </c>
      <c r="B234" s="58" t="s">
        <v>1212</v>
      </c>
      <c r="C234" s="60"/>
      <c r="D234" s="116">
        <f>D235</f>
        <v>5176500</v>
      </c>
      <c r="E234" s="116">
        <f>E235</f>
        <v>5180000</v>
      </c>
      <c r="F234" s="116">
        <f>F235</f>
        <v>5180000</v>
      </c>
    </row>
    <row r="235" spans="1:6" ht="16.5">
      <c r="A235" s="41" t="s">
        <v>146</v>
      </c>
      <c r="B235" s="58" t="s">
        <v>1212</v>
      </c>
      <c r="C235" s="60">
        <v>310</v>
      </c>
      <c r="D235" s="116">
        <f>'Вед. 2020'!G159</f>
        <v>5176500</v>
      </c>
      <c r="E235" s="116">
        <f>'Вед. 2020'!H159</f>
        <v>5180000</v>
      </c>
      <c r="F235" s="116">
        <f>'Вед. 2020'!I159</f>
        <v>5180000</v>
      </c>
    </row>
    <row r="236" spans="1:6" ht="33">
      <c r="A236" s="40" t="s">
        <v>148</v>
      </c>
      <c r="B236" s="58" t="s">
        <v>1211</v>
      </c>
      <c r="C236" s="60"/>
      <c r="D236" s="116">
        <f>D237</f>
        <v>106900</v>
      </c>
      <c r="E236" s="116">
        <f>E237</f>
        <v>110000</v>
      </c>
      <c r="F236" s="116">
        <f>F237</f>
        <v>100000</v>
      </c>
    </row>
    <row r="237" spans="1:6" ht="33">
      <c r="A237" s="41" t="s">
        <v>192</v>
      </c>
      <c r="B237" s="58" t="s">
        <v>1211</v>
      </c>
      <c r="C237" s="60">
        <v>320</v>
      </c>
      <c r="D237" s="116">
        <f>'Вед. 2020'!G165</f>
        <v>106900</v>
      </c>
      <c r="E237" s="116">
        <f>'Вед. 2020'!H165</f>
        <v>110000</v>
      </c>
      <c r="F237" s="116">
        <f>'Вед. 2020'!I165</f>
        <v>100000</v>
      </c>
    </row>
    <row r="238" spans="1:6" ht="33">
      <c r="A238" s="40" t="s">
        <v>392</v>
      </c>
      <c r="B238" s="58" t="s">
        <v>1209</v>
      </c>
      <c r="C238" s="60"/>
      <c r="D238" s="116">
        <f>D239+D240</f>
        <v>101500</v>
      </c>
      <c r="E238" s="116">
        <f>E239+E240</f>
        <v>101500</v>
      </c>
      <c r="F238" s="116">
        <f>F239+F240</f>
        <v>101500</v>
      </c>
    </row>
    <row r="239" spans="1:6" ht="16.5" hidden="1">
      <c r="A239" s="40" t="s">
        <v>146</v>
      </c>
      <c r="B239" s="58">
        <v>3610114940</v>
      </c>
      <c r="C239" s="60">
        <v>310</v>
      </c>
      <c r="D239" s="116">
        <f>'Вед. 2020'!G460</f>
        <v>0</v>
      </c>
      <c r="E239" s="116">
        <f>'Вед. 2020'!H460</f>
        <v>0</v>
      </c>
      <c r="F239" s="116">
        <f>'Вед. 2020'!I460</f>
        <v>0</v>
      </c>
    </row>
    <row r="240" spans="1:6" ht="33">
      <c r="A240" s="41" t="s">
        <v>192</v>
      </c>
      <c r="B240" s="58" t="s">
        <v>1209</v>
      </c>
      <c r="C240" s="60">
        <v>320</v>
      </c>
      <c r="D240" s="116">
        <f>'Вед. 2020'!G461</f>
        <v>101500</v>
      </c>
      <c r="E240" s="116">
        <f>'Вед. 2020'!H461</f>
        <v>101500</v>
      </c>
      <c r="F240" s="116">
        <f>'Вед. 2020'!I461</f>
        <v>101500</v>
      </c>
    </row>
    <row r="241" spans="1:6" ht="49.5">
      <c r="A241" s="40" t="s">
        <v>110</v>
      </c>
      <c r="B241" s="58" t="s">
        <v>1210</v>
      </c>
      <c r="C241" s="60"/>
      <c r="D241" s="116">
        <f>D242</f>
        <v>106900</v>
      </c>
      <c r="E241" s="116">
        <f>E242</f>
        <v>110000</v>
      </c>
      <c r="F241" s="116">
        <f>F242</f>
        <v>100000</v>
      </c>
    </row>
    <row r="242" spans="1:6" ht="33">
      <c r="A242" s="41" t="s">
        <v>192</v>
      </c>
      <c r="B242" s="58" t="s">
        <v>1210</v>
      </c>
      <c r="C242" s="60">
        <v>320</v>
      </c>
      <c r="D242" s="116">
        <f>'Вед. 2020'!G167</f>
        <v>106900</v>
      </c>
      <c r="E242" s="116">
        <f>'Вед. 2020'!H167</f>
        <v>110000</v>
      </c>
      <c r="F242" s="116">
        <f>'Вед. 2020'!I167</f>
        <v>100000</v>
      </c>
    </row>
    <row r="243" spans="1:6" ht="66">
      <c r="A243" s="40" t="s">
        <v>519</v>
      </c>
      <c r="B243" s="18" t="s">
        <v>1208</v>
      </c>
      <c r="C243" s="59"/>
      <c r="D243" s="43">
        <f>D244+D245</f>
        <v>874000</v>
      </c>
      <c r="E243" s="43">
        <f>E244+E245</f>
        <v>874000</v>
      </c>
      <c r="F243" s="43">
        <f>F244+F245</f>
        <v>874000</v>
      </c>
    </row>
    <row r="244" spans="1:6" ht="16.5">
      <c r="A244" s="78" t="s">
        <v>165</v>
      </c>
      <c r="B244" s="18" t="s">
        <v>1208</v>
      </c>
      <c r="C244" s="59">
        <v>530</v>
      </c>
      <c r="D244" s="43">
        <f>'Вед. 2020'!G668</f>
        <v>386000</v>
      </c>
      <c r="E244" s="43">
        <f>'Вед. 2020'!H668</f>
        <v>386000</v>
      </c>
      <c r="F244" s="43">
        <f>'Вед. 2020'!I668</f>
        <v>386000</v>
      </c>
    </row>
    <row r="245" spans="1:6" ht="16.5">
      <c r="A245" s="71" t="s">
        <v>137</v>
      </c>
      <c r="B245" s="18" t="s">
        <v>1208</v>
      </c>
      <c r="C245" s="59">
        <v>110</v>
      </c>
      <c r="D245" s="43">
        <f>'Вед. 2020'!G463</f>
        <v>488000</v>
      </c>
      <c r="E245" s="43">
        <f>'Вед. 2020'!H463</f>
        <v>488000</v>
      </c>
      <c r="F245" s="43">
        <f>'Вед. 2020'!I463</f>
        <v>488000</v>
      </c>
    </row>
    <row r="246" spans="1:6" ht="33">
      <c r="A246" s="40" t="s">
        <v>394</v>
      </c>
      <c r="B246" s="58" t="s">
        <v>1207</v>
      </c>
      <c r="C246" s="60"/>
      <c r="D246" s="116">
        <f>D247+D249</f>
        <v>3939000</v>
      </c>
      <c r="E246" s="116">
        <f>E247+E249</f>
        <v>3939000</v>
      </c>
      <c r="F246" s="116">
        <f>F247+F249</f>
        <v>3939000</v>
      </c>
    </row>
    <row r="247" spans="1:6" ht="99" hidden="1">
      <c r="A247" s="40" t="s">
        <v>548</v>
      </c>
      <c r="B247" s="18" t="s">
        <v>1206</v>
      </c>
      <c r="C247" s="59"/>
      <c r="D247" s="116">
        <f>D248</f>
        <v>0</v>
      </c>
      <c r="E247" s="116">
        <f>E248</f>
        <v>0</v>
      </c>
      <c r="F247" s="116">
        <f>F248</f>
        <v>0</v>
      </c>
    </row>
    <row r="248" spans="1:6" ht="16.5" hidden="1">
      <c r="A248" s="40" t="s">
        <v>146</v>
      </c>
      <c r="B248" s="18" t="s">
        <v>1206</v>
      </c>
      <c r="C248" s="59">
        <v>310</v>
      </c>
      <c r="D248" s="116">
        <f>'Вед. 2020'!G316</f>
        <v>0</v>
      </c>
      <c r="E248" s="116">
        <f>'Вед. 2020'!H316</f>
        <v>0</v>
      </c>
      <c r="F248" s="116">
        <f>'Вед. 2020'!I316</f>
        <v>0</v>
      </c>
    </row>
    <row r="249" spans="1:6" ht="82.5">
      <c r="A249" s="40" t="s">
        <v>395</v>
      </c>
      <c r="B249" s="58" t="s">
        <v>1205</v>
      </c>
      <c r="C249" s="60"/>
      <c r="D249" s="116">
        <f>D250</f>
        <v>3939000</v>
      </c>
      <c r="E249" s="116">
        <f>E250</f>
        <v>3939000</v>
      </c>
      <c r="F249" s="116">
        <f>F250</f>
        <v>3939000</v>
      </c>
    </row>
    <row r="250" spans="1:6" ht="16.5">
      <c r="A250" s="40" t="s">
        <v>146</v>
      </c>
      <c r="B250" s="58" t="s">
        <v>1205</v>
      </c>
      <c r="C250" s="60">
        <v>310</v>
      </c>
      <c r="D250" s="116">
        <f>'Вед. 2020'!G318</f>
        <v>3939000</v>
      </c>
      <c r="E250" s="116">
        <f>'Вед. 2020'!H318</f>
        <v>3939000</v>
      </c>
      <c r="F250" s="116">
        <f>'Вед. 2020'!I318</f>
        <v>3939000</v>
      </c>
    </row>
    <row r="251" spans="1:6" ht="33">
      <c r="A251" s="40" t="s">
        <v>513</v>
      </c>
      <c r="B251" s="58" t="s">
        <v>275</v>
      </c>
      <c r="C251" s="60"/>
      <c r="D251" s="116">
        <f>D252</f>
        <v>65226000</v>
      </c>
      <c r="E251" s="116">
        <f>E252</f>
        <v>64992000</v>
      </c>
      <c r="F251" s="116">
        <f>F252</f>
        <v>66018000</v>
      </c>
    </row>
    <row r="252" spans="1:6" ht="33">
      <c r="A252" s="40" t="s">
        <v>377</v>
      </c>
      <c r="B252" s="58" t="s">
        <v>376</v>
      </c>
      <c r="C252" s="60"/>
      <c r="D252" s="116">
        <f>D257+D261+D255+D253</f>
        <v>65226000</v>
      </c>
      <c r="E252" s="116">
        <f>E257+E261+E255+E253</f>
        <v>64992000</v>
      </c>
      <c r="F252" s="116">
        <f>F257+F261+F255+F253</f>
        <v>66018000</v>
      </c>
    </row>
    <row r="253" spans="1:6" ht="49.5">
      <c r="A253" s="41" t="s">
        <v>382</v>
      </c>
      <c r="B253" s="18" t="s">
        <v>470</v>
      </c>
      <c r="C253" s="59"/>
      <c r="D253" s="43">
        <f>D254</f>
        <v>6043000</v>
      </c>
      <c r="E253" s="43">
        <f>E254</f>
        <v>4530000</v>
      </c>
      <c r="F253" s="43">
        <f>F254</f>
        <v>3973000</v>
      </c>
    </row>
    <row r="254" spans="1:6" ht="18.75">
      <c r="A254" s="75" t="s">
        <v>468</v>
      </c>
      <c r="B254" s="18" t="s">
        <v>470</v>
      </c>
      <c r="C254" s="59">
        <v>410</v>
      </c>
      <c r="D254" s="43">
        <f>'Вед. 2020'!G730</f>
        <v>6043000</v>
      </c>
      <c r="E254" s="43">
        <f>'Вед. 2020'!H730</f>
        <v>4530000</v>
      </c>
      <c r="F254" s="43">
        <f>'Вед. 2020'!I730</f>
        <v>3973000</v>
      </c>
    </row>
    <row r="255" spans="1:6" ht="49.5">
      <c r="A255" s="41" t="s">
        <v>382</v>
      </c>
      <c r="B255" s="58" t="s">
        <v>383</v>
      </c>
      <c r="C255" s="60"/>
      <c r="D255" s="116">
        <f>D256</f>
        <v>5023000</v>
      </c>
      <c r="E255" s="116">
        <f>E256</f>
        <v>4237000</v>
      </c>
      <c r="F255" s="116">
        <f>F256</f>
        <v>3666000</v>
      </c>
    </row>
    <row r="256" spans="1:6" ht="16.5">
      <c r="A256" s="41" t="s">
        <v>164</v>
      </c>
      <c r="B256" s="58" t="s">
        <v>383</v>
      </c>
      <c r="C256" s="60">
        <v>410</v>
      </c>
      <c r="D256" s="116">
        <f>'Вед. 2020'!G732</f>
        <v>5023000</v>
      </c>
      <c r="E256" s="116">
        <f>'Вед. 2020'!H732</f>
        <v>4237000</v>
      </c>
      <c r="F256" s="116">
        <f>'Вед. 2020'!I732</f>
        <v>3666000</v>
      </c>
    </row>
    <row r="257" spans="1:6" ht="33">
      <c r="A257" s="40" t="s">
        <v>187</v>
      </c>
      <c r="B257" s="58" t="s">
        <v>378</v>
      </c>
      <c r="C257" s="60"/>
      <c r="D257" s="116">
        <f>D258+D259+D260</f>
        <v>6779000</v>
      </c>
      <c r="E257" s="116">
        <f>E258+E259+E260</f>
        <v>6949000</v>
      </c>
      <c r="F257" s="116">
        <f>F258+F259+F260</f>
        <v>7131000</v>
      </c>
    </row>
    <row r="258" spans="1:6" ht="33">
      <c r="A258" s="41" t="s">
        <v>127</v>
      </c>
      <c r="B258" s="58" t="s">
        <v>378</v>
      </c>
      <c r="C258" s="60">
        <v>120</v>
      </c>
      <c r="D258" s="116">
        <f>'Вед. 2020'!G298</f>
        <v>5609000</v>
      </c>
      <c r="E258" s="116">
        <f>'Вед. 2020'!H298</f>
        <v>5779000</v>
      </c>
      <c r="F258" s="116">
        <f>'Вед. 2020'!I298</f>
        <v>5961000</v>
      </c>
    </row>
    <row r="259" spans="1:6" ht="33">
      <c r="A259" s="41" t="s">
        <v>130</v>
      </c>
      <c r="B259" s="58" t="s">
        <v>378</v>
      </c>
      <c r="C259" s="60">
        <v>240</v>
      </c>
      <c r="D259" s="116">
        <f>'Вед. 2020'!G299</f>
        <v>1160000</v>
      </c>
      <c r="E259" s="116">
        <f>'Вед. 2020'!H299</f>
        <v>1160000</v>
      </c>
      <c r="F259" s="116">
        <f>'Вед. 2020'!I299</f>
        <v>1160000</v>
      </c>
    </row>
    <row r="260" spans="1:6" ht="16.5">
      <c r="A260" s="95" t="s">
        <v>194</v>
      </c>
      <c r="B260" s="58" t="s">
        <v>378</v>
      </c>
      <c r="C260" s="60">
        <v>830</v>
      </c>
      <c r="D260" s="116">
        <f>'Вед. 2020'!G300</f>
        <v>10000</v>
      </c>
      <c r="E260" s="116">
        <f>'Вед. 2020'!H300</f>
        <v>10000</v>
      </c>
      <c r="F260" s="116">
        <f>'Вед. 2020'!I300</f>
        <v>10000</v>
      </c>
    </row>
    <row r="261" spans="1:6" ht="66">
      <c r="A261" s="41" t="s">
        <v>457</v>
      </c>
      <c r="B261" s="58" t="s">
        <v>380</v>
      </c>
      <c r="C261" s="60"/>
      <c r="D261" s="116">
        <f>D263+D262</f>
        <v>47381000</v>
      </c>
      <c r="E261" s="116">
        <f>E263+E262</f>
        <v>49276000</v>
      </c>
      <c r="F261" s="116">
        <f>F263+F262</f>
        <v>51248000</v>
      </c>
    </row>
    <row r="262" spans="1:6" ht="16.5">
      <c r="A262" s="41" t="s">
        <v>146</v>
      </c>
      <c r="B262" s="58" t="s">
        <v>380</v>
      </c>
      <c r="C262" s="60">
        <v>310</v>
      </c>
      <c r="D262" s="116">
        <f>'Вед. 2020'!G322</f>
        <v>28945400</v>
      </c>
      <c r="E262" s="116">
        <f>'Вед. 2020'!H322</f>
        <v>29945400</v>
      </c>
      <c r="F262" s="116">
        <f>'Вед. 2020'!I322</f>
        <v>31945400</v>
      </c>
    </row>
    <row r="263" spans="1:6" ht="33">
      <c r="A263" s="41" t="s">
        <v>192</v>
      </c>
      <c r="B263" s="58" t="s">
        <v>380</v>
      </c>
      <c r="C263" s="60">
        <v>320</v>
      </c>
      <c r="D263" s="116">
        <f>'Вед. 2020'!G323</f>
        <v>18435600</v>
      </c>
      <c r="E263" s="116">
        <f>'Вед. 2020'!H323</f>
        <v>19330600</v>
      </c>
      <c r="F263" s="116">
        <f>'Вед. 2020'!I323</f>
        <v>19302600</v>
      </c>
    </row>
    <row r="264" spans="1:6" ht="33">
      <c r="A264" s="40" t="s">
        <v>512</v>
      </c>
      <c r="B264" s="58" t="s">
        <v>274</v>
      </c>
      <c r="C264" s="60"/>
      <c r="D264" s="116">
        <f>D265</f>
        <v>4930500</v>
      </c>
      <c r="E264" s="116">
        <f>E265</f>
        <v>3995100</v>
      </c>
      <c r="F264" s="116">
        <f>F265</f>
        <v>3877100</v>
      </c>
    </row>
    <row r="265" spans="1:6" ht="16.5">
      <c r="A265" s="40" t="s">
        <v>384</v>
      </c>
      <c r="B265" s="58" t="s">
        <v>385</v>
      </c>
      <c r="C265" s="60"/>
      <c r="D265" s="116">
        <f>D266+D268+D272+D270</f>
        <v>4930500</v>
      </c>
      <c r="E265" s="116">
        <f>E266+E268+E272+E270</f>
        <v>3995100</v>
      </c>
      <c r="F265" s="116">
        <f>F266+F268+F272+F270</f>
        <v>3877100</v>
      </c>
    </row>
    <row r="266" spans="1:6" ht="49.5">
      <c r="A266" s="40" t="s">
        <v>486</v>
      </c>
      <c r="B266" s="58" t="s">
        <v>386</v>
      </c>
      <c r="C266" s="60"/>
      <c r="D266" s="116">
        <f>D267</f>
        <v>3052100</v>
      </c>
      <c r="E266" s="116">
        <f>E267</f>
        <v>3044140.4</v>
      </c>
      <c r="F266" s="116">
        <f>F267</f>
        <v>3045332.4</v>
      </c>
    </row>
    <row r="267" spans="1:6" ht="16.5">
      <c r="A267" s="40" t="s">
        <v>150</v>
      </c>
      <c r="B267" s="58" t="s">
        <v>386</v>
      </c>
      <c r="C267" s="60">
        <v>620</v>
      </c>
      <c r="D267" s="116">
        <f>'Вед. 2020'!G263</f>
        <v>3052100</v>
      </c>
      <c r="E267" s="116">
        <f>'Вед. 2020'!H263</f>
        <v>3044140.4</v>
      </c>
      <c r="F267" s="116">
        <f>'Вед. 2020'!I263</f>
        <v>3045332.4</v>
      </c>
    </row>
    <row r="268" spans="1:6" ht="33">
      <c r="A268" s="40" t="s">
        <v>387</v>
      </c>
      <c r="B268" s="58" t="s">
        <v>416</v>
      </c>
      <c r="C268" s="60"/>
      <c r="D268" s="116">
        <f>D269</f>
        <v>155000</v>
      </c>
      <c r="E268" s="116">
        <f>E269</f>
        <v>155000</v>
      </c>
      <c r="F268" s="116">
        <f>F269</f>
        <v>155000</v>
      </c>
    </row>
    <row r="269" spans="1:6" ht="16.5">
      <c r="A269" s="41" t="s">
        <v>153</v>
      </c>
      <c r="B269" s="58" t="s">
        <v>416</v>
      </c>
      <c r="C269" s="60">
        <v>610</v>
      </c>
      <c r="D269" s="116">
        <f>'Вед. 2020'!G240</f>
        <v>155000</v>
      </c>
      <c r="E269" s="116">
        <f>'Вед. 2020'!H240</f>
        <v>155000</v>
      </c>
      <c r="F269" s="116">
        <f>'Вед. 2020'!I240</f>
        <v>155000</v>
      </c>
    </row>
    <row r="270" spans="1:6" s="85" customFormat="1" ht="16.5">
      <c r="A270" s="40" t="s">
        <v>496</v>
      </c>
      <c r="B270" s="18" t="s">
        <v>492</v>
      </c>
      <c r="C270" s="59"/>
      <c r="D270" s="43">
        <f>D271</f>
        <v>1688000</v>
      </c>
      <c r="E270" s="43">
        <f>E271</f>
        <v>788000</v>
      </c>
      <c r="F270" s="43">
        <f>F271</f>
        <v>670000</v>
      </c>
    </row>
    <row r="271" spans="1:6" s="85" customFormat="1" ht="33">
      <c r="A271" s="41" t="s">
        <v>130</v>
      </c>
      <c r="B271" s="18" t="s">
        <v>492</v>
      </c>
      <c r="C271" s="59">
        <v>240</v>
      </c>
      <c r="D271" s="43">
        <f>'Вед. 2020'!G561</f>
        <v>1688000</v>
      </c>
      <c r="E271" s="43">
        <f>'Вед. 2020'!H561</f>
        <v>788000</v>
      </c>
      <c r="F271" s="43">
        <f>'Вед. 2020'!I561</f>
        <v>670000</v>
      </c>
    </row>
    <row r="272" spans="1:6" ht="16.5">
      <c r="A272" s="40" t="s">
        <v>493</v>
      </c>
      <c r="B272" s="18" t="s">
        <v>494</v>
      </c>
      <c r="C272" s="59"/>
      <c r="D272" s="43">
        <f>D273</f>
        <v>35400</v>
      </c>
      <c r="E272" s="43">
        <f>E273</f>
        <v>7959.6</v>
      </c>
      <c r="F272" s="43">
        <f>F273</f>
        <v>6767.6</v>
      </c>
    </row>
    <row r="273" spans="1:6" ht="33">
      <c r="A273" s="41" t="s">
        <v>130</v>
      </c>
      <c r="B273" s="18" t="s">
        <v>494</v>
      </c>
      <c r="C273" s="59">
        <v>240</v>
      </c>
      <c r="D273" s="43">
        <f>'Вед. 2020'!G563</f>
        <v>35400</v>
      </c>
      <c r="E273" s="43">
        <f>'Вед. 2020'!H563</f>
        <v>7959.6</v>
      </c>
      <c r="F273" s="43">
        <f>'Вед. 2020'!I563</f>
        <v>6767.6</v>
      </c>
    </row>
    <row r="274" spans="1:6" ht="33.75">
      <c r="A274" s="74" t="s">
        <v>1138</v>
      </c>
      <c r="B274" s="117" t="s">
        <v>256</v>
      </c>
      <c r="C274" s="60"/>
      <c r="D274" s="116">
        <f>D275+D281+D284+D290</f>
        <v>14167552</v>
      </c>
      <c r="E274" s="116">
        <f>E275+E281+E284+E290</f>
        <v>13832500</v>
      </c>
      <c r="F274" s="116">
        <f>F275+F281+F284+F290</f>
        <v>13832500</v>
      </c>
    </row>
    <row r="275" spans="1:6" ht="16.5">
      <c r="A275" s="71" t="s">
        <v>438</v>
      </c>
      <c r="B275" s="58" t="s">
        <v>396</v>
      </c>
      <c r="C275" s="60"/>
      <c r="D275" s="116">
        <f>D276</f>
        <v>11331052</v>
      </c>
      <c r="E275" s="116">
        <f>E276</f>
        <v>11245400</v>
      </c>
      <c r="F275" s="116">
        <f>F276</f>
        <v>11245400</v>
      </c>
    </row>
    <row r="276" spans="1:6" ht="16.5">
      <c r="A276" s="68" t="s">
        <v>129</v>
      </c>
      <c r="B276" s="58" t="s">
        <v>1213</v>
      </c>
      <c r="C276" s="60"/>
      <c r="D276" s="116">
        <f>D277+D278+D280+D279</f>
        <v>11331052</v>
      </c>
      <c r="E276" s="116">
        <f>E277+E278+E280+E279</f>
        <v>11245400</v>
      </c>
      <c r="F276" s="116">
        <f>F277+F278+F280+F279</f>
        <v>11245400</v>
      </c>
    </row>
    <row r="277" spans="1:6" ht="33">
      <c r="A277" s="41" t="s">
        <v>127</v>
      </c>
      <c r="B277" s="58" t="s">
        <v>1213</v>
      </c>
      <c r="C277" s="60">
        <v>120</v>
      </c>
      <c r="D277" s="116">
        <f>'Вед. 2020'!G692</f>
        <v>9139300</v>
      </c>
      <c r="E277" s="116">
        <f>'Вед. 2020'!H692</f>
        <v>9139300</v>
      </c>
      <c r="F277" s="116">
        <f>'Вед. 2020'!I692</f>
        <v>9139300</v>
      </c>
    </row>
    <row r="278" spans="1:6" ht="33">
      <c r="A278" s="41" t="s">
        <v>130</v>
      </c>
      <c r="B278" s="58" t="s">
        <v>1213</v>
      </c>
      <c r="C278" s="60">
        <v>240</v>
      </c>
      <c r="D278" s="116">
        <f>'Вед. 2020'!G693</f>
        <v>2178752</v>
      </c>
      <c r="E278" s="116">
        <f>'Вед. 2020'!H693</f>
        <v>2093100</v>
      </c>
      <c r="F278" s="116">
        <f>'Вед. 2020'!I693</f>
        <v>2093100</v>
      </c>
    </row>
    <row r="279" spans="1:6" ht="16.5" hidden="1">
      <c r="A279" s="95" t="s">
        <v>194</v>
      </c>
      <c r="B279" s="58" t="s">
        <v>439</v>
      </c>
      <c r="C279" s="60">
        <v>830</v>
      </c>
      <c r="D279" s="116">
        <f>'Вед. 2020'!G694</f>
        <v>0</v>
      </c>
      <c r="E279" s="116">
        <f>'Вед. 2020'!H694</f>
        <v>0</v>
      </c>
      <c r="F279" s="116">
        <f>'Вед. 2020'!I694</f>
        <v>0</v>
      </c>
    </row>
    <row r="280" spans="1:6" ht="16.5">
      <c r="A280" s="41" t="s">
        <v>132</v>
      </c>
      <c r="B280" s="58" t="s">
        <v>1213</v>
      </c>
      <c r="C280" s="60">
        <v>850</v>
      </c>
      <c r="D280" s="116">
        <f>'Вед. 2020'!G695</f>
        <v>13000</v>
      </c>
      <c r="E280" s="116">
        <f>'Вед. 2020'!H695</f>
        <v>13000</v>
      </c>
      <c r="F280" s="116">
        <f>'Вед. 2020'!I695</f>
        <v>13000</v>
      </c>
    </row>
    <row r="281" spans="1:6" ht="33">
      <c r="A281" s="74" t="s">
        <v>440</v>
      </c>
      <c r="B281" s="58" t="s">
        <v>1214</v>
      </c>
      <c r="C281" s="60"/>
      <c r="D281" s="116">
        <f aca="true" t="shared" si="14" ref="D281:F282">D282</f>
        <v>497500</v>
      </c>
      <c r="E281" s="116">
        <f t="shared" si="14"/>
        <v>476600</v>
      </c>
      <c r="F281" s="116">
        <f t="shared" si="14"/>
        <v>476600</v>
      </c>
    </row>
    <row r="282" spans="1:6" ht="33">
      <c r="A282" s="74" t="s">
        <v>57</v>
      </c>
      <c r="B282" s="58" t="s">
        <v>1215</v>
      </c>
      <c r="C282" s="60"/>
      <c r="D282" s="116">
        <f t="shared" si="14"/>
        <v>497500</v>
      </c>
      <c r="E282" s="116">
        <f t="shared" si="14"/>
        <v>476600</v>
      </c>
      <c r="F282" s="116">
        <f t="shared" si="14"/>
        <v>476600</v>
      </c>
    </row>
    <row r="283" spans="1:6" ht="33">
      <c r="A283" s="41" t="s">
        <v>130</v>
      </c>
      <c r="B283" s="58" t="s">
        <v>1215</v>
      </c>
      <c r="C283" s="60">
        <v>240</v>
      </c>
      <c r="D283" s="116">
        <f>'Вед. 2020'!G698</f>
        <v>497500</v>
      </c>
      <c r="E283" s="116">
        <f>'Вед. 2020'!H698</f>
        <v>476600</v>
      </c>
      <c r="F283" s="116">
        <f>'Вед. 2020'!I698</f>
        <v>476600</v>
      </c>
    </row>
    <row r="284" spans="1:6" ht="33">
      <c r="A284" s="74" t="s">
        <v>441</v>
      </c>
      <c r="B284" s="58" t="s">
        <v>1216</v>
      </c>
      <c r="C284" s="60"/>
      <c r="D284" s="116">
        <f>D285+D288</f>
        <v>2016000</v>
      </c>
      <c r="E284" s="116">
        <f>E285+E288</f>
        <v>2016000</v>
      </c>
      <c r="F284" s="116">
        <f>F285+F288</f>
        <v>2016000</v>
      </c>
    </row>
    <row r="285" spans="1:6" ht="16.5">
      <c r="A285" s="74" t="s">
        <v>442</v>
      </c>
      <c r="B285" s="58" t="s">
        <v>1217</v>
      </c>
      <c r="C285" s="60"/>
      <c r="D285" s="116">
        <f>D286+D287</f>
        <v>318000</v>
      </c>
      <c r="E285" s="116">
        <f>E286+E287</f>
        <v>318000</v>
      </c>
      <c r="F285" s="116">
        <f>F286+F287</f>
        <v>318000</v>
      </c>
    </row>
    <row r="286" spans="1:6" ht="33">
      <c r="A286" s="41" t="s">
        <v>130</v>
      </c>
      <c r="B286" s="58" t="s">
        <v>1217</v>
      </c>
      <c r="C286" s="60">
        <v>240</v>
      </c>
      <c r="D286" s="116">
        <f>'Вед. 2020'!G714</f>
        <v>318000</v>
      </c>
      <c r="E286" s="116">
        <f>'Вед. 2020'!H714</f>
        <v>318000</v>
      </c>
      <c r="F286" s="116">
        <f>'Вед. 2020'!I714</f>
        <v>318000</v>
      </c>
    </row>
    <row r="287" spans="1:6" ht="18.75">
      <c r="A287" s="75" t="s">
        <v>468</v>
      </c>
      <c r="B287" s="58" t="s">
        <v>1217</v>
      </c>
      <c r="C287" s="59">
        <v>410</v>
      </c>
      <c r="D287" s="42">
        <f>'Вед. 2020'!G715</f>
        <v>0</v>
      </c>
      <c r="E287" s="42">
        <f>'Вед. 2020'!H715</f>
        <v>0</v>
      </c>
      <c r="F287" s="42">
        <f>'Вед. 2020'!I715</f>
        <v>0</v>
      </c>
    </row>
    <row r="288" spans="1:6" ht="18.75">
      <c r="A288" s="41" t="s">
        <v>473</v>
      </c>
      <c r="B288" s="62" t="s">
        <v>1218</v>
      </c>
      <c r="C288" s="59"/>
      <c r="D288" s="42">
        <f>D289</f>
        <v>1698000</v>
      </c>
      <c r="E288" s="42">
        <f>E289</f>
        <v>1698000</v>
      </c>
      <c r="F288" s="42">
        <f>F289</f>
        <v>1698000</v>
      </c>
    </row>
    <row r="289" spans="1:6" ht="33">
      <c r="A289" s="41" t="s">
        <v>130</v>
      </c>
      <c r="B289" s="62" t="s">
        <v>1218</v>
      </c>
      <c r="C289" s="59">
        <v>240</v>
      </c>
      <c r="D289" s="42">
        <f>'Вед. 2020'!G717</f>
        <v>1698000</v>
      </c>
      <c r="E289" s="42">
        <f>'Вед. 2020'!H717</f>
        <v>1698000</v>
      </c>
      <c r="F289" s="42">
        <f>'Вед. 2020'!I717</f>
        <v>1698000</v>
      </c>
    </row>
    <row r="290" spans="1:6" s="85" customFormat="1" ht="33">
      <c r="A290" s="41" t="s">
        <v>978</v>
      </c>
      <c r="B290" s="61" t="s">
        <v>1219</v>
      </c>
      <c r="C290" s="59"/>
      <c r="D290" s="42">
        <f aca="true" t="shared" si="15" ref="D290:F291">D291</f>
        <v>323000</v>
      </c>
      <c r="E290" s="42">
        <f t="shared" si="15"/>
        <v>94500</v>
      </c>
      <c r="F290" s="42">
        <f t="shared" si="15"/>
        <v>94500</v>
      </c>
    </row>
    <row r="291" spans="1:6" s="85" customFormat="1" ht="33">
      <c r="A291" s="41" t="s">
        <v>979</v>
      </c>
      <c r="B291" s="61" t="s">
        <v>1220</v>
      </c>
      <c r="C291" s="59"/>
      <c r="D291" s="42">
        <f t="shared" si="15"/>
        <v>323000</v>
      </c>
      <c r="E291" s="42">
        <f t="shared" si="15"/>
        <v>94500</v>
      </c>
      <c r="F291" s="42">
        <f t="shared" si="15"/>
        <v>94500</v>
      </c>
    </row>
    <row r="292" spans="1:6" s="85" customFormat="1" ht="33">
      <c r="A292" s="41" t="s">
        <v>130</v>
      </c>
      <c r="B292" s="61" t="s">
        <v>1220</v>
      </c>
      <c r="C292" s="59">
        <v>240</v>
      </c>
      <c r="D292" s="42">
        <f>'Вед. 2020'!G704</f>
        <v>323000</v>
      </c>
      <c r="E292" s="42">
        <f>'Вед. 2020'!H704</f>
        <v>94500</v>
      </c>
      <c r="F292" s="42">
        <f>'Вед. 2020'!I704</f>
        <v>94500</v>
      </c>
    </row>
    <row r="293" spans="1:6" ht="50.25">
      <c r="A293" s="40" t="s">
        <v>1141</v>
      </c>
      <c r="B293" s="117" t="s">
        <v>257</v>
      </c>
      <c r="C293" s="60"/>
      <c r="D293" s="116">
        <f aca="true" t="shared" si="16" ref="D293:F294">D294</f>
        <v>21000</v>
      </c>
      <c r="E293" s="116">
        <f t="shared" si="16"/>
        <v>21000</v>
      </c>
      <c r="F293" s="116">
        <f t="shared" si="16"/>
        <v>21000</v>
      </c>
    </row>
    <row r="294" spans="1:6" ht="16.5">
      <c r="A294" s="40" t="s">
        <v>454</v>
      </c>
      <c r="B294" s="58" t="s">
        <v>397</v>
      </c>
      <c r="C294" s="60"/>
      <c r="D294" s="116">
        <f t="shared" si="16"/>
        <v>21000</v>
      </c>
      <c r="E294" s="116">
        <f t="shared" si="16"/>
        <v>21000</v>
      </c>
      <c r="F294" s="116">
        <f t="shared" si="16"/>
        <v>21000</v>
      </c>
    </row>
    <row r="295" spans="1:6" ht="33">
      <c r="A295" s="40" t="s">
        <v>160</v>
      </c>
      <c r="B295" s="58" t="s">
        <v>398</v>
      </c>
      <c r="C295" s="60"/>
      <c r="D295" s="116">
        <f>D296+D297</f>
        <v>21000</v>
      </c>
      <c r="E295" s="116">
        <f>E296+E297</f>
        <v>21000</v>
      </c>
      <c r="F295" s="116">
        <f>F296+F297</f>
        <v>21000</v>
      </c>
    </row>
    <row r="296" spans="1:6" ht="33">
      <c r="A296" s="41" t="s">
        <v>130</v>
      </c>
      <c r="B296" s="58" t="s">
        <v>398</v>
      </c>
      <c r="C296" s="60">
        <v>240</v>
      </c>
      <c r="D296" s="116">
        <f>'Вед. 2020'!G304</f>
        <v>15000</v>
      </c>
      <c r="E296" s="116">
        <f>'Вед. 2020'!H304</f>
        <v>15000</v>
      </c>
      <c r="F296" s="116">
        <f>'Вед. 2020'!I304</f>
        <v>15000</v>
      </c>
    </row>
    <row r="297" spans="1:6" ht="16.5">
      <c r="A297" s="41" t="s">
        <v>153</v>
      </c>
      <c r="B297" s="58" t="s">
        <v>398</v>
      </c>
      <c r="C297" s="60">
        <v>610</v>
      </c>
      <c r="D297" s="116">
        <f>'Вед. 2020'!G411</f>
        <v>6000</v>
      </c>
      <c r="E297" s="116">
        <f>'Вед. 2020'!H411</f>
        <v>6000</v>
      </c>
      <c r="F297" s="116">
        <f>'Вед. 2020'!I411</f>
        <v>6000</v>
      </c>
    </row>
    <row r="298" spans="1:6" ht="33">
      <c r="A298" s="41" t="s">
        <v>1126</v>
      </c>
      <c r="B298" s="117" t="s">
        <v>222</v>
      </c>
      <c r="C298" s="60"/>
      <c r="D298" s="116">
        <f>D299+D305+D309+D315</f>
        <v>198000</v>
      </c>
      <c r="E298" s="116">
        <f>E299+E305+E309+E315</f>
        <v>198000</v>
      </c>
      <c r="F298" s="116">
        <f>F299+F305+F309+F315</f>
        <v>198000</v>
      </c>
    </row>
    <row r="299" spans="1:6" ht="33">
      <c r="A299" s="79" t="s">
        <v>140</v>
      </c>
      <c r="B299" s="58" t="s">
        <v>228</v>
      </c>
      <c r="C299" s="60"/>
      <c r="D299" s="116">
        <f aca="true" t="shared" si="17" ref="D299:F300">D300</f>
        <v>23000</v>
      </c>
      <c r="E299" s="116">
        <f t="shared" si="17"/>
        <v>23000</v>
      </c>
      <c r="F299" s="116">
        <f t="shared" si="17"/>
        <v>23000</v>
      </c>
    </row>
    <row r="300" spans="1:6" ht="16.5">
      <c r="A300" s="79" t="s">
        <v>399</v>
      </c>
      <c r="B300" s="58" t="s">
        <v>229</v>
      </c>
      <c r="C300" s="60"/>
      <c r="D300" s="116">
        <f t="shared" si="17"/>
        <v>23000</v>
      </c>
      <c r="E300" s="116">
        <f t="shared" si="17"/>
        <v>23000</v>
      </c>
      <c r="F300" s="116">
        <f t="shared" si="17"/>
        <v>23000</v>
      </c>
    </row>
    <row r="301" spans="1:6" ht="33">
      <c r="A301" s="79" t="s">
        <v>400</v>
      </c>
      <c r="B301" s="58" t="s">
        <v>401</v>
      </c>
      <c r="C301" s="60"/>
      <c r="D301" s="116">
        <f>D303+D304+D302</f>
        <v>23000</v>
      </c>
      <c r="E301" s="116">
        <f>E303+E304+E302</f>
        <v>23000</v>
      </c>
      <c r="F301" s="116">
        <f>F303+F304+F302</f>
        <v>23000</v>
      </c>
    </row>
    <row r="302" spans="1:6" ht="33">
      <c r="A302" s="41" t="s">
        <v>130</v>
      </c>
      <c r="B302" s="58" t="s">
        <v>401</v>
      </c>
      <c r="C302" s="60">
        <v>240</v>
      </c>
      <c r="D302" s="116">
        <f>'Вед. 2020'!G124</f>
        <v>10000</v>
      </c>
      <c r="E302" s="116">
        <f>'Вед. 2020'!H124</f>
        <v>10000</v>
      </c>
      <c r="F302" s="116">
        <f>'Вед. 2020'!I124</f>
        <v>10000</v>
      </c>
    </row>
    <row r="303" spans="1:6" ht="16.5">
      <c r="A303" s="41" t="s">
        <v>153</v>
      </c>
      <c r="B303" s="58" t="s">
        <v>401</v>
      </c>
      <c r="C303" s="60">
        <v>610</v>
      </c>
      <c r="D303" s="116">
        <f>'Вед. 2020'!G416</f>
        <v>7000</v>
      </c>
      <c r="E303" s="116">
        <f>'Вед. 2020'!H416</f>
        <v>7000</v>
      </c>
      <c r="F303" s="116">
        <f>'Вед. 2020'!I416</f>
        <v>7000</v>
      </c>
    </row>
    <row r="304" spans="1:6" ht="16.5">
      <c r="A304" s="41" t="s">
        <v>132</v>
      </c>
      <c r="B304" s="58" t="s">
        <v>401</v>
      </c>
      <c r="C304" s="60">
        <v>850</v>
      </c>
      <c r="D304" s="116">
        <f>'Вед. 2020'!G125</f>
        <v>6000</v>
      </c>
      <c r="E304" s="116">
        <f>'Вед. 2020'!H125</f>
        <v>6000</v>
      </c>
      <c r="F304" s="116">
        <f>'Вед. 2020'!I125</f>
        <v>6000</v>
      </c>
    </row>
    <row r="305" spans="1:6" ht="16.5">
      <c r="A305" s="41" t="s">
        <v>514</v>
      </c>
      <c r="B305" s="58" t="s">
        <v>272</v>
      </c>
      <c r="C305" s="60"/>
      <c r="D305" s="116">
        <f>D306</f>
        <v>50000</v>
      </c>
      <c r="E305" s="116">
        <f aca="true" t="shared" si="18" ref="E305:F307">E306</f>
        <v>50000</v>
      </c>
      <c r="F305" s="116">
        <f t="shared" si="18"/>
        <v>50000</v>
      </c>
    </row>
    <row r="306" spans="1:6" ht="16.5">
      <c r="A306" s="41" t="s">
        <v>402</v>
      </c>
      <c r="B306" s="58" t="s">
        <v>403</v>
      </c>
      <c r="C306" s="60"/>
      <c r="D306" s="116">
        <f>D307</f>
        <v>50000</v>
      </c>
      <c r="E306" s="116">
        <f t="shared" si="18"/>
        <v>50000</v>
      </c>
      <c r="F306" s="116">
        <f t="shared" si="18"/>
        <v>50000</v>
      </c>
    </row>
    <row r="307" spans="1:6" ht="16.5">
      <c r="A307" s="41" t="s">
        <v>404</v>
      </c>
      <c r="B307" s="58" t="s">
        <v>405</v>
      </c>
      <c r="C307" s="60"/>
      <c r="D307" s="116">
        <f>D308</f>
        <v>50000</v>
      </c>
      <c r="E307" s="116">
        <f t="shared" si="18"/>
        <v>50000</v>
      </c>
      <c r="F307" s="116">
        <f t="shared" si="18"/>
        <v>50000</v>
      </c>
    </row>
    <row r="308" spans="1:6" ht="33">
      <c r="A308" s="41" t="s">
        <v>130</v>
      </c>
      <c r="B308" s="58" t="s">
        <v>405</v>
      </c>
      <c r="C308" s="60">
        <v>240</v>
      </c>
      <c r="D308" s="116">
        <f>'Вед. 2020'!G309</f>
        <v>50000</v>
      </c>
      <c r="E308" s="116">
        <f>'Вед. 2020'!H309</f>
        <v>50000</v>
      </c>
      <c r="F308" s="116">
        <f>'Вед. 2020'!I309</f>
        <v>50000</v>
      </c>
    </row>
    <row r="309" spans="1:6" ht="33">
      <c r="A309" s="41" t="s">
        <v>144</v>
      </c>
      <c r="B309" s="58" t="s">
        <v>223</v>
      </c>
      <c r="C309" s="60"/>
      <c r="D309" s="116">
        <f>D310</f>
        <v>120000</v>
      </c>
      <c r="E309" s="116">
        <f>E310</f>
        <v>120000</v>
      </c>
      <c r="F309" s="116">
        <f>F310</f>
        <v>120000</v>
      </c>
    </row>
    <row r="310" spans="1:6" ht="16.5">
      <c r="A310" s="41" t="s">
        <v>406</v>
      </c>
      <c r="B310" s="58" t="s">
        <v>225</v>
      </c>
      <c r="C310" s="60"/>
      <c r="D310" s="116">
        <f>D311+D312+D313</f>
        <v>120000</v>
      </c>
      <c r="E310" s="116">
        <f>E311+E312+E313</f>
        <v>120000</v>
      </c>
      <c r="F310" s="116">
        <f>F311+F312+F313</f>
        <v>120000</v>
      </c>
    </row>
    <row r="311" spans="1:6" ht="33">
      <c r="A311" s="41" t="s">
        <v>130</v>
      </c>
      <c r="B311" s="58" t="s">
        <v>224</v>
      </c>
      <c r="C311" s="60">
        <v>240</v>
      </c>
      <c r="D311" s="116">
        <f>'Вед. 2020'!G99</f>
        <v>80000</v>
      </c>
      <c r="E311" s="116">
        <f>'Вед. 2020'!H99</f>
        <v>80000</v>
      </c>
      <c r="F311" s="116">
        <f>'Вед. 2020'!I99</f>
        <v>80000</v>
      </c>
    </row>
    <row r="312" spans="1:6" ht="16.5">
      <c r="A312" s="41" t="s">
        <v>153</v>
      </c>
      <c r="B312" s="58" t="s">
        <v>224</v>
      </c>
      <c r="C312" s="60">
        <v>610</v>
      </c>
      <c r="D312" s="116">
        <f>'Вед. 2020'!G420</f>
        <v>10000</v>
      </c>
      <c r="E312" s="116">
        <f>'Вед. 2020'!H420</f>
        <v>10000</v>
      </c>
      <c r="F312" s="116">
        <f>'Вед. 2020'!I420</f>
        <v>10000</v>
      </c>
    </row>
    <row r="313" spans="1:6" ht="33">
      <c r="A313" s="41" t="s">
        <v>199</v>
      </c>
      <c r="B313" s="58" t="s">
        <v>407</v>
      </c>
      <c r="C313" s="60"/>
      <c r="D313" s="116">
        <f>D314</f>
        <v>30000</v>
      </c>
      <c r="E313" s="116">
        <f>E314</f>
        <v>30000</v>
      </c>
      <c r="F313" s="116">
        <f>F314</f>
        <v>30000</v>
      </c>
    </row>
    <row r="314" spans="1:6" ht="16.5">
      <c r="A314" s="41" t="s">
        <v>39</v>
      </c>
      <c r="B314" s="58" t="s">
        <v>407</v>
      </c>
      <c r="C314" s="60">
        <v>540</v>
      </c>
      <c r="D314" s="116">
        <f>'Вед. 2020'!G644</f>
        <v>30000</v>
      </c>
      <c r="E314" s="116">
        <f>'Вед. 2020'!H644</f>
        <v>30000</v>
      </c>
      <c r="F314" s="116">
        <f>'Вед. 2020'!I644</f>
        <v>30000</v>
      </c>
    </row>
    <row r="315" spans="1:6" ht="33">
      <c r="A315" s="41" t="s">
        <v>497</v>
      </c>
      <c r="B315" s="18" t="s">
        <v>498</v>
      </c>
      <c r="C315" s="59"/>
      <c r="D315" s="43">
        <f>D316</f>
        <v>5000</v>
      </c>
      <c r="E315" s="43">
        <f aca="true" t="shared" si="19" ref="E315:F317">E316</f>
        <v>5000</v>
      </c>
      <c r="F315" s="43">
        <f t="shared" si="19"/>
        <v>5000</v>
      </c>
    </row>
    <row r="316" spans="1:6" ht="16.5">
      <c r="A316" s="41" t="s">
        <v>500</v>
      </c>
      <c r="B316" s="18" t="s">
        <v>499</v>
      </c>
      <c r="C316" s="59"/>
      <c r="D316" s="43">
        <f>D317</f>
        <v>5000</v>
      </c>
      <c r="E316" s="43">
        <f t="shared" si="19"/>
        <v>5000</v>
      </c>
      <c r="F316" s="43">
        <f t="shared" si="19"/>
        <v>5000</v>
      </c>
    </row>
    <row r="317" spans="1:6" ht="16.5">
      <c r="A317" s="41" t="s">
        <v>501</v>
      </c>
      <c r="B317" s="18" t="s">
        <v>502</v>
      </c>
      <c r="C317" s="59"/>
      <c r="D317" s="43">
        <f>D318</f>
        <v>5000</v>
      </c>
      <c r="E317" s="43">
        <f t="shared" si="19"/>
        <v>5000</v>
      </c>
      <c r="F317" s="43">
        <f t="shared" si="19"/>
        <v>5000</v>
      </c>
    </row>
    <row r="318" spans="1:6" ht="33">
      <c r="A318" s="41" t="s">
        <v>130</v>
      </c>
      <c r="B318" s="18" t="s">
        <v>502</v>
      </c>
      <c r="C318" s="59">
        <v>240</v>
      </c>
      <c r="D318" s="43">
        <f>'Вед. 2020'!G103</f>
        <v>5000</v>
      </c>
      <c r="E318" s="43">
        <f>'Вед. 2020'!H103</f>
        <v>5000</v>
      </c>
      <c r="F318" s="43">
        <f>'Вед. 2020'!I103</f>
        <v>5000</v>
      </c>
    </row>
    <row r="319" spans="1:6" ht="33.75">
      <c r="A319" s="40" t="s">
        <v>1139</v>
      </c>
      <c r="B319" s="117" t="s">
        <v>258</v>
      </c>
      <c r="C319" s="60"/>
      <c r="D319" s="116">
        <f>D320+D323+D326</f>
        <v>1446200</v>
      </c>
      <c r="E319" s="116">
        <f>E320+E323+E326</f>
        <v>1446200</v>
      </c>
      <c r="F319" s="116">
        <f>F320+F323+F326</f>
        <v>1436200</v>
      </c>
    </row>
    <row r="320" spans="1:6" ht="16.5">
      <c r="A320" s="40" t="s">
        <v>408</v>
      </c>
      <c r="B320" s="58" t="s">
        <v>409</v>
      </c>
      <c r="C320" s="60"/>
      <c r="D320" s="116">
        <f aca="true" t="shared" si="20" ref="D320:F321">D321</f>
        <v>1371200</v>
      </c>
      <c r="E320" s="116">
        <f t="shared" si="20"/>
        <v>1371200</v>
      </c>
      <c r="F320" s="116">
        <f t="shared" si="20"/>
        <v>1371200</v>
      </c>
    </row>
    <row r="321" spans="1:6" ht="49.5">
      <c r="A321" s="41" t="s">
        <v>455</v>
      </c>
      <c r="B321" s="58" t="s">
        <v>410</v>
      </c>
      <c r="C321" s="60"/>
      <c r="D321" s="116">
        <f t="shared" si="20"/>
        <v>1371200</v>
      </c>
      <c r="E321" s="116">
        <f t="shared" si="20"/>
        <v>1371200</v>
      </c>
      <c r="F321" s="116">
        <f t="shared" si="20"/>
        <v>1371200</v>
      </c>
    </row>
    <row r="322" spans="1:6" ht="16.5">
      <c r="A322" s="40" t="s">
        <v>150</v>
      </c>
      <c r="B322" s="58" t="s">
        <v>410</v>
      </c>
      <c r="C322" s="60">
        <v>620</v>
      </c>
      <c r="D322" s="116">
        <f>'Вед. 2020'!G424</f>
        <v>1371200</v>
      </c>
      <c r="E322" s="116">
        <f>'Вед. 2020'!H424</f>
        <v>1371200</v>
      </c>
      <c r="F322" s="116">
        <f>'Вед. 2020'!I424</f>
        <v>1371200</v>
      </c>
    </row>
    <row r="323" spans="1:6" ht="33">
      <c r="A323" s="40" t="s">
        <v>411</v>
      </c>
      <c r="B323" s="58" t="s">
        <v>412</v>
      </c>
      <c r="C323" s="60"/>
      <c r="D323" s="116">
        <f aca="true" t="shared" si="21" ref="D323:F324">D324</f>
        <v>10000</v>
      </c>
      <c r="E323" s="116">
        <f t="shared" si="21"/>
        <v>10000</v>
      </c>
      <c r="F323" s="116">
        <f t="shared" si="21"/>
        <v>0</v>
      </c>
    </row>
    <row r="324" spans="1:6" ht="16.5">
      <c r="A324" s="40" t="s">
        <v>179</v>
      </c>
      <c r="B324" s="58" t="s">
        <v>413</v>
      </c>
      <c r="C324" s="60"/>
      <c r="D324" s="116">
        <f t="shared" si="21"/>
        <v>10000</v>
      </c>
      <c r="E324" s="116">
        <f t="shared" si="21"/>
        <v>10000</v>
      </c>
      <c r="F324" s="116">
        <f t="shared" si="21"/>
        <v>0</v>
      </c>
    </row>
    <row r="325" spans="1:6" ht="16.5">
      <c r="A325" s="40" t="s">
        <v>150</v>
      </c>
      <c r="B325" s="58" t="s">
        <v>413</v>
      </c>
      <c r="C325" s="60">
        <v>620</v>
      </c>
      <c r="D325" s="116">
        <f>'Вед. 2020'!G427</f>
        <v>10000</v>
      </c>
      <c r="E325" s="116">
        <f>'Вед. 2020'!H427</f>
        <v>10000</v>
      </c>
      <c r="F325" s="116">
        <f>'Вед. 2020'!I427</f>
        <v>0</v>
      </c>
    </row>
    <row r="326" spans="1:6" ht="33">
      <c r="A326" s="40" t="s">
        <v>450</v>
      </c>
      <c r="B326" s="58" t="s">
        <v>414</v>
      </c>
      <c r="C326" s="60"/>
      <c r="D326" s="116">
        <f aca="true" t="shared" si="22" ref="D326:F327">D327</f>
        <v>65000</v>
      </c>
      <c r="E326" s="116">
        <f t="shared" si="22"/>
        <v>65000</v>
      </c>
      <c r="F326" s="116">
        <f t="shared" si="22"/>
        <v>65000</v>
      </c>
    </row>
    <row r="327" spans="1:6" ht="16.5">
      <c r="A327" s="40" t="s">
        <v>179</v>
      </c>
      <c r="B327" s="58" t="s">
        <v>415</v>
      </c>
      <c r="C327" s="60"/>
      <c r="D327" s="116">
        <f t="shared" si="22"/>
        <v>65000</v>
      </c>
      <c r="E327" s="116">
        <f t="shared" si="22"/>
        <v>65000</v>
      </c>
      <c r="F327" s="116">
        <f t="shared" si="22"/>
        <v>65000</v>
      </c>
    </row>
    <row r="328" spans="1:6" ht="16.5">
      <c r="A328" s="40" t="s">
        <v>150</v>
      </c>
      <c r="B328" s="58" t="s">
        <v>415</v>
      </c>
      <c r="C328" s="60">
        <v>620</v>
      </c>
      <c r="D328" s="116">
        <f>'Вед. 2020'!G430</f>
        <v>65000</v>
      </c>
      <c r="E328" s="116">
        <f>'Вед. 2020'!H430</f>
        <v>65000</v>
      </c>
      <c r="F328" s="116">
        <f>'Вед. 2020'!I430</f>
        <v>65000</v>
      </c>
    </row>
    <row r="329" spans="1:6" ht="33">
      <c r="A329" s="41" t="s">
        <v>1133</v>
      </c>
      <c r="B329" s="117" t="s">
        <v>234</v>
      </c>
      <c r="C329" s="60"/>
      <c r="D329" s="116">
        <f>D330+D336</f>
        <v>21745800</v>
      </c>
      <c r="E329" s="116">
        <f>E330+E336</f>
        <v>21995295</v>
      </c>
      <c r="F329" s="116">
        <f>F330+F336</f>
        <v>21745800</v>
      </c>
    </row>
    <row r="330" spans="1:6" ht="16.5">
      <c r="A330" s="41" t="s">
        <v>167</v>
      </c>
      <c r="B330" s="58" t="s">
        <v>271</v>
      </c>
      <c r="C330" s="60"/>
      <c r="D330" s="116">
        <f>D331</f>
        <v>21645800</v>
      </c>
      <c r="E330" s="116">
        <f>E331</f>
        <v>21645800</v>
      </c>
      <c r="F330" s="116">
        <f>F331</f>
        <v>21645800</v>
      </c>
    </row>
    <row r="331" spans="1:6" ht="49.5">
      <c r="A331" s="102" t="s">
        <v>342</v>
      </c>
      <c r="B331" s="58" t="s">
        <v>343</v>
      </c>
      <c r="C331" s="60"/>
      <c r="D331" s="116">
        <f>D332+D334</f>
        <v>21645800</v>
      </c>
      <c r="E331" s="116">
        <f>E332+E334</f>
        <v>21645800</v>
      </c>
      <c r="F331" s="116">
        <f>F332+F334</f>
        <v>21645800</v>
      </c>
    </row>
    <row r="332" spans="1:6" ht="33">
      <c r="A332" s="102" t="s">
        <v>168</v>
      </c>
      <c r="B332" s="58" t="s">
        <v>344</v>
      </c>
      <c r="C332" s="60"/>
      <c r="D332" s="116">
        <f>D333</f>
        <v>21645800</v>
      </c>
      <c r="E332" s="116">
        <f>E333</f>
        <v>21645800</v>
      </c>
      <c r="F332" s="116">
        <f>F333</f>
        <v>21645800</v>
      </c>
    </row>
    <row r="333" spans="1:6" ht="33">
      <c r="A333" s="41" t="s">
        <v>130</v>
      </c>
      <c r="B333" s="58" t="s">
        <v>344</v>
      </c>
      <c r="C333" s="60">
        <v>240</v>
      </c>
      <c r="D333" s="116">
        <f>'Вед. 2020'!G497</f>
        <v>21645800</v>
      </c>
      <c r="E333" s="116">
        <f>'Вед. 2020'!H497</f>
        <v>21645800</v>
      </c>
      <c r="F333" s="116">
        <f>'Вед. 2020'!I497</f>
        <v>21645800</v>
      </c>
    </row>
    <row r="334" spans="1:6" ht="49.5" hidden="1">
      <c r="A334" s="72" t="s">
        <v>487</v>
      </c>
      <c r="B334" s="18" t="s">
        <v>476</v>
      </c>
      <c r="C334" s="59"/>
      <c r="D334" s="43">
        <f>D335</f>
        <v>0</v>
      </c>
      <c r="E334" s="43">
        <f>E335</f>
        <v>0</v>
      </c>
      <c r="F334" s="43">
        <f>F335</f>
        <v>0</v>
      </c>
    </row>
    <row r="335" spans="1:6" ht="16.5" hidden="1">
      <c r="A335" s="41" t="s">
        <v>39</v>
      </c>
      <c r="B335" s="18" t="s">
        <v>476</v>
      </c>
      <c r="C335" s="59">
        <v>540</v>
      </c>
      <c r="D335" s="43">
        <f>'Вед. 2020'!G611</f>
        <v>0</v>
      </c>
      <c r="E335" s="43">
        <f>'Вед. 2020'!H611</f>
        <v>0</v>
      </c>
      <c r="F335" s="43">
        <f>'Вед. 2020'!I611</f>
        <v>0</v>
      </c>
    </row>
    <row r="336" spans="1:6" ht="16.5">
      <c r="A336" s="41" t="s">
        <v>141</v>
      </c>
      <c r="B336" s="58" t="s">
        <v>270</v>
      </c>
      <c r="C336" s="60"/>
      <c r="D336" s="116">
        <f aca="true" t="shared" si="23" ref="D336:F338">D337</f>
        <v>100000</v>
      </c>
      <c r="E336" s="116">
        <f t="shared" si="23"/>
        <v>349495</v>
      </c>
      <c r="F336" s="116">
        <f t="shared" si="23"/>
        <v>100000</v>
      </c>
    </row>
    <row r="337" spans="1:6" ht="33">
      <c r="A337" s="102" t="s">
        <v>340</v>
      </c>
      <c r="B337" s="58" t="s">
        <v>341</v>
      </c>
      <c r="C337" s="60"/>
      <c r="D337" s="116">
        <f t="shared" si="23"/>
        <v>100000</v>
      </c>
      <c r="E337" s="116">
        <f t="shared" si="23"/>
        <v>349495</v>
      </c>
      <c r="F337" s="116">
        <f t="shared" si="23"/>
        <v>100000</v>
      </c>
    </row>
    <row r="338" spans="1:6" ht="33">
      <c r="A338" s="40" t="s">
        <v>489</v>
      </c>
      <c r="B338" s="18" t="s">
        <v>485</v>
      </c>
      <c r="C338" s="59"/>
      <c r="D338" s="43">
        <f t="shared" si="23"/>
        <v>100000</v>
      </c>
      <c r="E338" s="43">
        <f t="shared" si="23"/>
        <v>349495</v>
      </c>
      <c r="F338" s="43">
        <f t="shared" si="23"/>
        <v>100000</v>
      </c>
    </row>
    <row r="339" spans="1:6" ht="33">
      <c r="A339" s="41" t="s">
        <v>130</v>
      </c>
      <c r="B339" s="18" t="s">
        <v>485</v>
      </c>
      <c r="C339" s="59">
        <v>240</v>
      </c>
      <c r="D339" s="43">
        <f>'Вед. 2020'!G491</f>
        <v>100000</v>
      </c>
      <c r="E339" s="43">
        <f>'Вед. 2020'!H491</f>
        <v>349495</v>
      </c>
      <c r="F339" s="43">
        <f>'Вед. 2020'!I491</f>
        <v>100000</v>
      </c>
    </row>
    <row r="340" spans="1:6" ht="33.75">
      <c r="A340" s="40" t="s">
        <v>1127</v>
      </c>
      <c r="B340" s="117" t="s">
        <v>235</v>
      </c>
      <c r="C340" s="60"/>
      <c r="D340" s="116">
        <f>D341+D348+D353+D358+D368+D371</f>
        <v>121202450</v>
      </c>
      <c r="E340" s="116">
        <f>E341++E348+E353+E358+E368+E371</f>
        <v>96204050</v>
      </c>
      <c r="F340" s="116">
        <f>F341++F348+F353+F358+F368+F371</f>
        <v>96263050</v>
      </c>
    </row>
    <row r="341" spans="1:6" ht="18.75">
      <c r="A341" s="77" t="s">
        <v>321</v>
      </c>
      <c r="B341" s="117" t="s">
        <v>338</v>
      </c>
      <c r="C341" s="118"/>
      <c r="D341" s="70">
        <f>D342+D346</f>
        <v>10997950</v>
      </c>
      <c r="E341" s="70">
        <f>E342+E346</f>
        <v>10997950</v>
      </c>
      <c r="F341" s="70">
        <f>F342+F346</f>
        <v>10997950</v>
      </c>
    </row>
    <row r="342" spans="1:6" ht="18.75">
      <c r="A342" s="77" t="s">
        <v>129</v>
      </c>
      <c r="B342" s="117" t="s">
        <v>1221</v>
      </c>
      <c r="C342" s="118"/>
      <c r="D342" s="70">
        <f>D343+D344+D345</f>
        <v>10697950</v>
      </c>
      <c r="E342" s="70">
        <f>E343+E344+E345</f>
        <v>10697950</v>
      </c>
      <c r="F342" s="70">
        <f>F343+F344+F345</f>
        <v>10697950</v>
      </c>
    </row>
    <row r="343" spans="1:6" ht="33">
      <c r="A343" s="41" t="s">
        <v>127</v>
      </c>
      <c r="B343" s="117" t="s">
        <v>1221</v>
      </c>
      <c r="C343" s="60">
        <v>120</v>
      </c>
      <c r="D343" s="70">
        <f>'Вед. 2020'!G595</f>
        <v>9710400</v>
      </c>
      <c r="E343" s="70">
        <f>'Вед. 2020'!H595</f>
        <v>9710400</v>
      </c>
      <c r="F343" s="70">
        <f>'Вед. 2020'!I595</f>
        <v>9710400</v>
      </c>
    </row>
    <row r="344" spans="1:6" ht="33">
      <c r="A344" s="41" t="s">
        <v>130</v>
      </c>
      <c r="B344" s="117" t="s">
        <v>1221</v>
      </c>
      <c r="C344" s="60">
        <v>240</v>
      </c>
      <c r="D344" s="70">
        <f>'Вед. 2020'!G596</f>
        <v>972050</v>
      </c>
      <c r="E344" s="70">
        <f>'Вед. 2020'!H596</f>
        <v>972050</v>
      </c>
      <c r="F344" s="70">
        <f>'Вед. 2020'!I596</f>
        <v>972050</v>
      </c>
    </row>
    <row r="345" spans="1:6" ht="18.75">
      <c r="A345" s="41" t="s">
        <v>132</v>
      </c>
      <c r="B345" s="117" t="s">
        <v>1221</v>
      </c>
      <c r="C345" s="60">
        <v>850</v>
      </c>
      <c r="D345" s="70">
        <f>'Вед. 2020'!G597</f>
        <v>15500</v>
      </c>
      <c r="E345" s="70">
        <f>'Вед. 2020'!H597</f>
        <v>15500</v>
      </c>
      <c r="F345" s="70">
        <f>'Вед. 2020'!I597</f>
        <v>15500</v>
      </c>
    </row>
    <row r="346" spans="1:6" ht="33">
      <c r="A346" s="77" t="s">
        <v>107</v>
      </c>
      <c r="B346" s="117" t="s">
        <v>1222</v>
      </c>
      <c r="C346" s="118"/>
      <c r="D346" s="70">
        <f>D347</f>
        <v>300000</v>
      </c>
      <c r="E346" s="70">
        <f>E347</f>
        <v>300000</v>
      </c>
      <c r="F346" s="70">
        <f>F347</f>
        <v>300000</v>
      </c>
    </row>
    <row r="347" spans="1:6" ht="18.75">
      <c r="A347" s="95" t="s">
        <v>135</v>
      </c>
      <c r="B347" s="117" t="s">
        <v>1222</v>
      </c>
      <c r="C347" s="118">
        <v>870</v>
      </c>
      <c r="D347" s="70">
        <f>'Вед. 2020'!G83</f>
        <v>300000</v>
      </c>
      <c r="E347" s="70">
        <f>'Вед. 2020'!H83</f>
        <v>300000</v>
      </c>
      <c r="F347" s="70">
        <f>'Вед. 2020'!I83</f>
        <v>300000</v>
      </c>
    </row>
    <row r="348" spans="1:6" ht="49.5">
      <c r="A348" s="77" t="s">
        <v>322</v>
      </c>
      <c r="B348" s="17" t="s">
        <v>339</v>
      </c>
      <c r="C348" s="118"/>
      <c r="D348" s="70">
        <f>D349+D351</f>
        <v>101068000</v>
      </c>
      <c r="E348" s="70">
        <f>E349+E351</f>
        <v>75998000</v>
      </c>
      <c r="F348" s="70">
        <f>F349+F351</f>
        <v>75998000</v>
      </c>
    </row>
    <row r="349" spans="1:6" ht="16.5">
      <c r="A349" s="77" t="s">
        <v>172</v>
      </c>
      <c r="B349" s="17" t="s">
        <v>1223</v>
      </c>
      <c r="C349" s="118"/>
      <c r="D349" s="70">
        <f>D350</f>
        <v>100586000</v>
      </c>
      <c r="E349" s="70">
        <f>E350</f>
        <v>75998000</v>
      </c>
      <c r="F349" s="70">
        <f>F350</f>
        <v>75998000</v>
      </c>
    </row>
    <row r="350" spans="1:6" ht="16.5">
      <c r="A350" s="74" t="s">
        <v>323</v>
      </c>
      <c r="B350" s="17" t="s">
        <v>1223</v>
      </c>
      <c r="C350" s="118">
        <v>510</v>
      </c>
      <c r="D350" s="70">
        <f>'Вед. 2020'!G680</f>
        <v>100586000</v>
      </c>
      <c r="E350" s="70">
        <f>'Вед. 2020'!H680</f>
        <v>75998000</v>
      </c>
      <c r="F350" s="70">
        <f>'Вед. 2020'!I680</f>
        <v>75998000</v>
      </c>
    </row>
    <row r="351" spans="1:6" ht="33">
      <c r="A351" s="77" t="s">
        <v>173</v>
      </c>
      <c r="B351" s="61" t="s">
        <v>1224</v>
      </c>
      <c r="C351" s="60"/>
      <c r="D351" s="70">
        <f>D352</f>
        <v>482000</v>
      </c>
      <c r="E351" s="70">
        <f>E352</f>
        <v>0</v>
      </c>
      <c r="F351" s="70">
        <f>F352</f>
        <v>0</v>
      </c>
    </row>
    <row r="352" spans="1:6" ht="16.5">
      <c r="A352" s="74" t="s">
        <v>39</v>
      </c>
      <c r="B352" s="61" t="s">
        <v>1224</v>
      </c>
      <c r="C352" s="118">
        <v>540</v>
      </c>
      <c r="D352" s="70">
        <f>'Вед. 2020'!G685</f>
        <v>482000</v>
      </c>
      <c r="E352" s="70">
        <f>'Вед. 2020'!H685</f>
        <v>0</v>
      </c>
      <c r="F352" s="70">
        <f>'Вед. 2020'!I685</f>
        <v>0</v>
      </c>
    </row>
    <row r="353" spans="1:6" ht="33">
      <c r="A353" s="77" t="s">
        <v>324</v>
      </c>
      <c r="B353" s="17" t="s">
        <v>469</v>
      </c>
      <c r="C353" s="118"/>
      <c r="D353" s="70">
        <f>D354</f>
        <v>7432000</v>
      </c>
      <c r="E353" s="70">
        <f>E354</f>
        <v>7432000</v>
      </c>
      <c r="F353" s="70">
        <f>F354</f>
        <v>7432000</v>
      </c>
    </row>
    <row r="354" spans="1:6" ht="49.5">
      <c r="A354" s="77" t="s">
        <v>207</v>
      </c>
      <c r="B354" s="17" t="s">
        <v>1225</v>
      </c>
      <c r="C354" s="118"/>
      <c r="D354" s="70">
        <f>D355+D356+D357</f>
        <v>7432000</v>
      </c>
      <c r="E354" s="70">
        <f>E355+E356+E357</f>
        <v>7432000</v>
      </c>
      <c r="F354" s="70">
        <f>F355+F356+F357</f>
        <v>7432000</v>
      </c>
    </row>
    <row r="355" spans="1:6" ht="16.5">
      <c r="A355" s="95" t="s">
        <v>137</v>
      </c>
      <c r="B355" s="17" t="s">
        <v>1225</v>
      </c>
      <c r="C355" s="60">
        <v>110</v>
      </c>
      <c r="D355" s="70">
        <f>'Вед. 2020'!G107</f>
        <v>6841200</v>
      </c>
      <c r="E355" s="70">
        <f>'Вед. 2020'!H107</f>
        <v>6841200</v>
      </c>
      <c r="F355" s="70">
        <f>'Вед. 2020'!I107</f>
        <v>6841200</v>
      </c>
    </row>
    <row r="356" spans="1:6" ht="33">
      <c r="A356" s="41" t="s">
        <v>130</v>
      </c>
      <c r="B356" s="17" t="s">
        <v>1225</v>
      </c>
      <c r="C356" s="60">
        <v>240</v>
      </c>
      <c r="D356" s="70">
        <f>'Вед. 2020'!G108</f>
        <v>579800</v>
      </c>
      <c r="E356" s="70">
        <f>'Вед. 2020'!H108</f>
        <v>579800</v>
      </c>
      <c r="F356" s="70">
        <f>'Вед. 2020'!I108</f>
        <v>579800</v>
      </c>
    </row>
    <row r="357" spans="1:6" ht="16.5">
      <c r="A357" s="41" t="s">
        <v>132</v>
      </c>
      <c r="B357" s="17" t="s">
        <v>1225</v>
      </c>
      <c r="C357" s="60">
        <v>850</v>
      </c>
      <c r="D357" s="70">
        <f>'Вед. 2020'!G109</f>
        <v>11000</v>
      </c>
      <c r="E357" s="70">
        <f>'Вед. 2020'!H109</f>
        <v>11000</v>
      </c>
      <c r="F357" s="70">
        <f>'Вед. 2020'!I109</f>
        <v>11000</v>
      </c>
    </row>
    <row r="358" spans="1:6" ht="33">
      <c r="A358" s="77" t="s">
        <v>444</v>
      </c>
      <c r="B358" s="17" t="s">
        <v>518</v>
      </c>
      <c r="C358" s="118"/>
      <c r="D358" s="70">
        <f>D359+D361+D363+D365</f>
        <v>1556000</v>
      </c>
      <c r="E358" s="70">
        <f>E359+E361+E363+E365</f>
        <v>1617000</v>
      </c>
      <c r="F358" s="70">
        <f>F359+F361+F363+F365</f>
        <v>1681000</v>
      </c>
    </row>
    <row r="359" spans="1:6" ht="49.5">
      <c r="A359" s="77" t="s">
        <v>325</v>
      </c>
      <c r="B359" s="17" t="s">
        <v>1226</v>
      </c>
      <c r="C359" s="118"/>
      <c r="D359" s="70">
        <f>D360</f>
        <v>542000</v>
      </c>
      <c r="E359" s="70">
        <f>E360</f>
        <v>564000</v>
      </c>
      <c r="F359" s="70">
        <f>F360</f>
        <v>586000</v>
      </c>
    </row>
    <row r="360" spans="1:6" ht="33">
      <c r="A360" s="41" t="s">
        <v>127</v>
      </c>
      <c r="B360" s="17" t="s">
        <v>1226</v>
      </c>
      <c r="C360" s="118">
        <v>120</v>
      </c>
      <c r="D360" s="70">
        <f>'Вед. 2020'!G59</f>
        <v>542000</v>
      </c>
      <c r="E360" s="70">
        <f>'Вед. 2020'!H59</f>
        <v>564000</v>
      </c>
      <c r="F360" s="70">
        <f>'Вед. 2020'!I59</f>
        <v>586000</v>
      </c>
    </row>
    <row r="361" spans="1:6" ht="33">
      <c r="A361" s="77" t="s">
        <v>327</v>
      </c>
      <c r="B361" s="17" t="s">
        <v>1227</v>
      </c>
      <c r="C361" s="118"/>
      <c r="D361" s="70">
        <f>D362</f>
        <v>457000</v>
      </c>
      <c r="E361" s="70">
        <f>E362</f>
        <v>475000</v>
      </c>
      <c r="F361" s="70">
        <f>F362</f>
        <v>494000</v>
      </c>
    </row>
    <row r="362" spans="1:6" ht="33">
      <c r="A362" s="41" t="s">
        <v>127</v>
      </c>
      <c r="B362" s="17" t="s">
        <v>1227</v>
      </c>
      <c r="C362" s="118">
        <v>120</v>
      </c>
      <c r="D362" s="70">
        <f>'Вед. 2020'!G60</f>
        <v>457000</v>
      </c>
      <c r="E362" s="70">
        <f>'Вед. 2020'!H60</f>
        <v>475000</v>
      </c>
      <c r="F362" s="70">
        <f>'Вед. 2020'!I60</f>
        <v>494000</v>
      </c>
    </row>
    <row r="363" spans="1:6" ht="49.5">
      <c r="A363" s="77" t="s">
        <v>326</v>
      </c>
      <c r="B363" s="17" t="s">
        <v>1228</v>
      </c>
      <c r="C363" s="118"/>
      <c r="D363" s="70">
        <f>D364</f>
        <v>542000</v>
      </c>
      <c r="E363" s="70">
        <f>E364</f>
        <v>563000</v>
      </c>
      <c r="F363" s="70">
        <f>F364</f>
        <v>586000</v>
      </c>
    </row>
    <row r="364" spans="1:6" ht="33">
      <c r="A364" s="41" t="s">
        <v>127</v>
      </c>
      <c r="B364" s="17" t="s">
        <v>1228</v>
      </c>
      <c r="C364" s="118">
        <v>120</v>
      </c>
      <c r="D364" s="70">
        <f>'Вед. 2020'!G63</f>
        <v>542000</v>
      </c>
      <c r="E364" s="70">
        <f>'Вед. 2020'!H63</f>
        <v>563000</v>
      </c>
      <c r="F364" s="70">
        <f>'Вед. 2020'!I63</f>
        <v>586000</v>
      </c>
    </row>
    <row r="365" spans="1:6" ht="49.5">
      <c r="A365" s="77" t="s">
        <v>205</v>
      </c>
      <c r="B365" s="17" t="s">
        <v>1229</v>
      </c>
      <c r="C365" s="118"/>
      <c r="D365" s="70">
        <f>D366+D367</f>
        <v>15000</v>
      </c>
      <c r="E365" s="70">
        <f>E366+E367</f>
        <v>15000</v>
      </c>
      <c r="F365" s="70">
        <f>F366+F367</f>
        <v>15000</v>
      </c>
    </row>
    <row r="366" spans="1:6" ht="33">
      <c r="A366" s="41" t="s">
        <v>130</v>
      </c>
      <c r="B366" s="17" t="s">
        <v>1229</v>
      </c>
      <c r="C366" s="118">
        <v>240</v>
      </c>
      <c r="D366" s="70">
        <f>'Вед. 2020'!G65</f>
        <v>2000</v>
      </c>
      <c r="E366" s="70">
        <f>'Вед. 2020'!H65</f>
        <v>2000</v>
      </c>
      <c r="F366" s="70">
        <f>'Вед. 2020'!I65</f>
        <v>2000</v>
      </c>
    </row>
    <row r="367" spans="1:6" ht="16.5">
      <c r="A367" s="41" t="s">
        <v>165</v>
      </c>
      <c r="B367" s="17" t="s">
        <v>1229</v>
      </c>
      <c r="C367" s="118">
        <v>530</v>
      </c>
      <c r="D367" s="70">
        <f>'Вед. 2020'!G590</f>
        <v>13000</v>
      </c>
      <c r="E367" s="70">
        <f>'Вед. 2020'!H590</f>
        <v>13000</v>
      </c>
      <c r="F367" s="70">
        <f>'Вед. 2020'!I590</f>
        <v>13000</v>
      </c>
    </row>
    <row r="368" spans="1:6" ht="16.5">
      <c r="A368" s="77" t="s">
        <v>328</v>
      </c>
      <c r="B368" s="17" t="s">
        <v>484</v>
      </c>
      <c r="C368" s="118"/>
      <c r="D368" s="70">
        <f aca="true" t="shared" si="24" ref="D368:F369">D369</f>
        <v>20000</v>
      </c>
      <c r="E368" s="70">
        <f t="shared" si="24"/>
        <v>20000</v>
      </c>
      <c r="F368" s="70">
        <f t="shared" si="24"/>
        <v>20000</v>
      </c>
    </row>
    <row r="369" spans="1:6" ht="33">
      <c r="A369" s="77" t="s">
        <v>170</v>
      </c>
      <c r="B369" s="17" t="s">
        <v>1230</v>
      </c>
      <c r="C369" s="118"/>
      <c r="D369" s="70">
        <f t="shared" si="24"/>
        <v>20000</v>
      </c>
      <c r="E369" s="70">
        <f t="shared" si="24"/>
        <v>20000</v>
      </c>
      <c r="F369" s="70">
        <f t="shared" si="24"/>
        <v>20000</v>
      </c>
    </row>
    <row r="370" spans="1:6" ht="16.5">
      <c r="A370" s="95" t="s">
        <v>171</v>
      </c>
      <c r="B370" s="17" t="s">
        <v>1230</v>
      </c>
      <c r="C370" s="118">
        <v>730</v>
      </c>
      <c r="D370" s="70">
        <f>'Вед. 2020'!G674</f>
        <v>20000</v>
      </c>
      <c r="E370" s="70">
        <f>'Вед. 2020'!H674</f>
        <v>20000</v>
      </c>
      <c r="F370" s="70">
        <f>'Вед. 2020'!I674</f>
        <v>20000</v>
      </c>
    </row>
    <row r="371" spans="1:6" ht="33">
      <c r="A371" s="74" t="s">
        <v>437</v>
      </c>
      <c r="B371" s="17" t="s">
        <v>1231</v>
      </c>
      <c r="C371" s="118"/>
      <c r="D371" s="70">
        <f>D372+D374+D377</f>
        <v>128500</v>
      </c>
      <c r="E371" s="70">
        <f>E372+E374+E377</f>
        <v>139100</v>
      </c>
      <c r="F371" s="70">
        <f>F372+F374+F377</f>
        <v>134100</v>
      </c>
    </row>
    <row r="372" spans="1:6" ht="33">
      <c r="A372" s="74" t="s">
        <v>1299</v>
      </c>
      <c r="B372" s="61" t="s">
        <v>1296</v>
      </c>
      <c r="C372" s="118"/>
      <c r="D372" s="70">
        <f>D373</f>
        <v>4000</v>
      </c>
      <c r="E372" s="70">
        <f>E373</f>
        <v>4000</v>
      </c>
      <c r="F372" s="70">
        <f>F373</f>
        <v>4000</v>
      </c>
    </row>
    <row r="373" spans="1:6" ht="33">
      <c r="A373" s="41" t="s">
        <v>130</v>
      </c>
      <c r="B373" s="61" t="s">
        <v>1296</v>
      </c>
      <c r="C373" s="118">
        <v>240</v>
      </c>
      <c r="D373" s="70">
        <f>'Вед. 2020'!G47+'Вед. 2020'!G152+'Вед. 2020'!G253+'Вед. 2020'!G359+'Вед. 2020'!G553+'Вед. 2020'!G650+'Вед. 2020'!G723+'Вед. 2020'!G771</f>
        <v>4000</v>
      </c>
      <c r="E373" s="70">
        <f>'Вед. 2020'!H47+'Вед. 2020'!H152+'Вед. 2020'!H253+'Вед. 2020'!H359+'Вед. 2020'!H553+'Вед. 2020'!H650+'Вед. 2020'!H723+'Вед. 2020'!H771</f>
        <v>4000</v>
      </c>
      <c r="F373" s="70">
        <f>'Вед. 2020'!I47+'Вед. 2020'!I152+'Вед. 2020'!I253+'Вед. 2020'!I359+'Вед. 2020'!I553+'Вед. 2020'!I650+'Вед. 2020'!I723+'Вед. 2020'!I771</f>
        <v>4000</v>
      </c>
    </row>
    <row r="374" spans="1:6" ht="33">
      <c r="A374" s="74" t="s">
        <v>1297</v>
      </c>
      <c r="B374" s="61" t="s">
        <v>1298</v>
      </c>
      <c r="C374" s="65"/>
      <c r="D374" s="43">
        <f>D375+D376</f>
        <v>118500</v>
      </c>
      <c r="E374" s="43">
        <f>E375+E376</f>
        <v>129100</v>
      </c>
      <c r="F374" s="43">
        <f>F375+F376</f>
        <v>129100</v>
      </c>
    </row>
    <row r="375" spans="1:6" ht="33">
      <c r="A375" s="41" t="s">
        <v>130</v>
      </c>
      <c r="B375" s="61" t="s">
        <v>1298</v>
      </c>
      <c r="C375" s="65">
        <v>240</v>
      </c>
      <c r="D375" s="43">
        <f>'Вед. 2020'!G150</f>
        <v>47400</v>
      </c>
      <c r="E375" s="43">
        <v>51600</v>
      </c>
      <c r="F375" s="43">
        <v>51600</v>
      </c>
    </row>
    <row r="376" spans="1:6" ht="16.5">
      <c r="A376" s="74" t="s">
        <v>1280</v>
      </c>
      <c r="B376" s="61" t="s">
        <v>1298</v>
      </c>
      <c r="C376" s="65">
        <v>520</v>
      </c>
      <c r="D376" s="43">
        <f>'Вед. 2020'!G652</f>
        <v>71100</v>
      </c>
      <c r="E376" s="43">
        <f>'Вед. 2020'!H652</f>
        <v>77500</v>
      </c>
      <c r="F376" s="43">
        <f>'Вед. 2020'!I652</f>
        <v>77500</v>
      </c>
    </row>
    <row r="377" spans="1:6" ht="49.5">
      <c r="A377" s="74" t="s">
        <v>449</v>
      </c>
      <c r="B377" s="17" t="s">
        <v>1233</v>
      </c>
      <c r="C377" s="118"/>
      <c r="D377" s="70">
        <f>D378</f>
        <v>6000</v>
      </c>
      <c r="E377" s="70">
        <f>E378</f>
        <v>6000</v>
      </c>
      <c r="F377" s="70">
        <f>F378</f>
        <v>1000</v>
      </c>
    </row>
    <row r="378" spans="1:6" ht="16.5">
      <c r="A378" s="74" t="s">
        <v>39</v>
      </c>
      <c r="B378" s="17" t="s">
        <v>1233</v>
      </c>
      <c r="C378" s="118">
        <v>540</v>
      </c>
      <c r="D378" s="70">
        <f>'Вед. 2020'!G654</f>
        <v>6000</v>
      </c>
      <c r="E378" s="70">
        <f>'Вед. 2020'!H654</f>
        <v>6000</v>
      </c>
      <c r="F378" s="70">
        <f>'Вед. 2020'!I654</f>
        <v>1000</v>
      </c>
    </row>
    <row r="379" spans="1:6" ht="18.75">
      <c r="A379" s="41" t="s">
        <v>1135</v>
      </c>
      <c r="B379" s="117" t="s">
        <v>259</v>
      </c>
      <c r="C379" s="60"/>
      <c r="D379" s="116">
        <f>D380+D384</f>
        <v>3320000</v>
      </c>
      <c r="E379" s="116">
        <f>E380+E384</f>
        <v>3152400</v>
      </c>
      <c r="F379" s="116">
        <f>F380+F384</f>
        <v>2044300</v>
      </c>
    </row>
    <row r="380" spans="1:6" ht="16.5">
      <c r="A380" s="41" t="s">
        <v>169</v>
      </c>
      <c r="B380" s="58" t="s">
        <v>269</v>
      </c>
      <c r="C380" s="60"/>
      <c r="D380" s="116">
        <f aca="true" t="shared" si="25" ref="D380:F382">D381</f>
        <v>50000</v>
      </c>
      <c r="E380" s="116">
        <f t="shared" si="25"/>
        <v>10000</v>
      </c>
      <c r="F380" s="116">
        <f t="shared" si="25"/>
        <v>1000</v>
      </c>
    </row>
    <row r="381" spans="1:6" ht="33">
      <c r="A381" s="67" t="s">
        <v>451</v>
      </c>
      <c r="B381" s="58" t="s">
        <v>330</v>
      </c>
      <c r="C381" s="60"/>
      <c r="D381" s="116">
        <f t="shared" si="25"/>
        <v>50000</v>
      </c>
      <c r="E381" s="116">
        <f t="shared" si="25"/>
        <v>10000</v>
      </c>
      <c r="F381" s="116">
        <f t="shared" si="25"/>
        <v>1000</v>
      </c>
    </row>
    <row r="382" spans="1:6" ht="66">
      <c r="A382" s="67" t="s">
        <v>452</v>
      </c>
      <c r="B382" s="58" t="s">
        <v>333</v>
      </c>
      <c r="C382" s="60"/>
      <c r="D382" s="116">
        <f t="shared" si="25"/>
        <v>50000</v>
      </c>
      <c r="E382" s="116">
        <f t="shared" si="25"/>
        <v>10000</v>
      </c>
      <c r="F382" s="116">
        <f t="shared" si="25"/>
        <v>1000</v>
      </c>
    </row>
    <row r="383" spans="1:6" ht="16.5">
      <c r="A383" s="74" t="s">
        <v>39</v>
      </c>
      <c r="B383" s="58" t="s">
        <v>333</v>
      </c>
      <c r="C383" s="60">
        <v>540</v>
      </c>
      <c r="D383" s="116">
        <f>'Вед. 2020'!G617</f>
        <v>50000</v>
      </c>
      <c r="E383" s="116">
        <f>'Вед. 2020'!H617</f>
        <v>10000</v>
      </c>
      <c r="F383" s="116">
        <f>'Вед. 2020'!I617</f>
        <v>1000</v>
      </c>
    </row>
    <row r="384" spans="1:6" ht="16.5">
      <c r="A384" s="41" t="s">
        <v>508</v>
      </c>
      <c r="B384" s="58" t="s">
        <v>331</v>
      </c>
      <c r="C384" s="60"/>
      <c r="D384" s="116">
        <f>D385</f>
        <v>3270000</v>
      </c>
      <c r="E384" s="116">
        <f>E385</f>
        <v>3142400</v>
      </c>
      <c r="F384" s="116">
        <f>F385</f>
        <v>2043300</v>
      </c>
    </row>
    <row r="385" spans="1:6" ht="16.5">
      <c r="A385" s="40" t="s">
        <v>329</v>
      </c>
      <c r="B385" s="58" t="s">
        <v>332</v>
      </c>
      <c r="C385" s="60"/>
      <c r="D385" s="116">
        <f>D387</f>
        <v>3270000</v>
      </c>
      <c r="E385" s="116">
        <f>E387</f>
        <v>3142400</v>
      </c>
      <c r="F385" s="116">
        <f>F387</f>
        <v>2043300</v>
      </c>
    </row>
    <row r="386" spans="1:6" ht="16.5">
      <c r="A386" s="40" t="s">
        <v>523</v>
      </c>
      <c r="B386" s="18" t="s">
        <v>522</v>
      </c>
      <c r="C386" s="59"/>
      <c r="D386" s="43">
        <f>D387</f>
        <v>3270000</v>
      </c>
      <c r="E386" s="43">
        <f>E387</f>
        <v>3142400</v>
      </c>
      <c r="F386" s="43">
        <f>F387</f>
        <v>2043300</v>
      </c>
    </row>
    <row r="387" spans="1:6" ht="33">
      <c r="A387" s="41" t="s">
        <v>192</v>
      </c>
      <c r="B387" s="18" t="s">
        <v>522</v>
      </c>
      <c r="C387" s="59">
        <v>320</v>
      </c>
      <c r="D387" s="43">
        <f>'Вед. 2020'!G570</f>
        <v>3270000</v>
      </c>
      <c r="E387" s="43">
        <f>'Вед. 2020'!H570</f>
        <v>3142400</v>
      </c>
      <c r="F387" s="43">
        <f>'Вед. 2020'!I570</f>
        <v>2043300</v>
      </c>
    </row>
    <row r="388" spans="1:6" ht="33">
      <c r="A388" s="41" t="s">
        <v>1142</v>
      </c>
      <c r="B388" s="117" t="s">
        <v>237</v>
      </c>
      <c r="C388" s="60"/>
      <c r="D388" s="116">
        <f aca="true" t="shared" si="26" ref="D388:F390">D389</f>
        <v>12000</v>
      </c>
      <c r="E388" s="116">
        <f t="shared" si="26"/>
        <v>10000</v>
      </c>
      <c r="F388" s="116">
        <f t="shared" si="26"/>
        <v>10000</v>
      </c>
    </row>
    <row r="389" spans="1:6" ht="33.75">
      <c r="A389" s="40" t="s">
        <v>311</v>
      </c>
      <c r="B389" s="117" t="s">
        <v>312</v>
      </c>
      <c r="C389" s="60"/>
      <c r="D389" s="116">
        <f t="shared" si="26"/>
        <v>12000</v>
      </c>
      <c r="E389" s="116">
        <f t="shared" si="26"/>
        <v>10000</v>
      </c>
      <c r="F389" s="116">
        <f t="shared" si="26"/>
        <v>10000</v>
      </c>
    </row>
    <row r="390" spans="1:6" ht="49.5">
      <c r="A390" s="40" t="s">
        <v>196</v>
      </c>
      <c r="B390" s="17" t="s">
        <v>313</v>
      </c>
      <c r="C390" s="60"/>
      <c r="D390" s="116">
        <f t="shared" si="26"/>
        <v>12000</v>
      </c>
      <c r="E390" s="116">
        <f t="shared" si="26"/>
        <v>10000</v>
      </c>
      <c r="F390" s="116">
        <f t="shared" si="26"/>
        <v>10000</v>
      </c>
    </row>
    <row r="391" spans="1:6" ht="16.5">
      <c r="A391" s="74" t="s">
        <v>39</v>
      </c>
      <c r="B391" s="17" t="s">
        <v>313</v>
      </c>
      <c r="C391" s="60">
        <v>540</v>
      </c>
      <c r="D391" s="116">
        <f>'Вед. 2020'!G627</f>
        <v>12000</v>
      </c>
      <c r="E391" s="116">
        <f>'Вед. 2020'!H627</f>
        <v>10000</v>
      </c>
      <c r="F391" s="116">
        <f>'Вед. 2020'!I627</f>
        <v>10000</v>
      </c>
    </row>
    <row r="392" spans="1:6" ht="49.5">
      <c r="A392" s="41" t="s">
        <v>1134</v>
      </c>
      <c r="B392" s="117" t="s">
        <v>238</v>
      </c>
      <c r="C392" s="60"/>
      <c r="D392" s="116">
        <f>D393+D401+D405</f>
        <v>13219900</v>
      </c>
      <c r="E392" s="116">
        <f>E393+E401+E405</f>
        <v>13509900</v>
      </c>
      <c r="F392" s="116">
        <f>F393+F401+F405</f>
        <v>13478950</v>
      </c>
    </row>
    <row r="393" spans="1:6" ht="33">
      <c r="A393" s="41" t="s">
        <v>79</v>
      </c>
      <c r="B393" s="58" t="s">
        <v>268</v>
      </c>
      <c r="C393" s="60"/>
      <c r="D393" s="116">
        <f>D394</f>
        <v>4385000</v>
      </c>
      <c r="E393" s="116">
        <f>E394</f>
        <v>4685000</v>
      </c>
      <c r="F393" s="116">
        <f>F394</f>
        <v>4685000</v>
      </c>
    </row>
    <row r="394" spans="1:6" ht="16.5">
      <c r="A394" s="41" t="s">
        <v>335</v>
      </c>
      <c r="B394" s="58" t="s">
        <v>334</v>
      </c>
      <c r="C394" s="60"/>
      <c r="D394" s="116">
        <f>D395+D397+D399</f>
        <v>4385000</v>
      </c>
      <c r="E394" s="116">
        <f>E395+E397+E399</f>
        <v>4685000</v>
      </c>
      <c r="F394" s="116">
        <f>F395+F397+F399</f>
        <v>4685000</v>
      </c>
    </row>
    <row r="395" spans="1:6" ht="33">
      <c r="A395" s="40" t="s">
        <v>549</v>
      </c>
      <c r="B395" s="18" t="s">
        <v>1248</v>
      </c>
      <c r="C395" s="18"/>
      <c r="D395" s="43">
        <f>D396</f>
        <v>4335000</v>
      </c>
      <c r="E395" s="43">
        <f>E396</f>
        <v>4585000</v>
      </c>
      <c r="F395" s="43">
        <f>F396</f>
        <v>4585000</v>
      </c>
    </row>
    <row r="396" spans="1:6" ht="49.5">
      <c r="A396" s="40" t="s">
        <v>241</v>
      </c>
      <c r="B396" s="18" t="s">
        <v>1248</v>
      </c>
      <c r="C396" s="18" t="s">
        <v>521</v>
      </c>
      <c r="D396" s="43">
        <f>'Вед. 2020'!G506</f>
        <v>4335000</v>
      </c>
      <c r="E396" s="43">
        <f>'Вед. 2020'!H506</f>
        <v>4585000</v>
      </c>
      <c r="F396" s="43">
        <f>'Вед. 2020'!I506</f>
        <v>4585000</v>
      </c>
    </row>
    <row r="397" spans="1:6" ht="49.5" hidden="1">
      <c r="A397" s="67" t="s">
        <v>458</v>
      </c>
      <c r="B397" s="58" t="s">
        <v>336</v>
      </c>
      <c r="C397" s="60"/>
      <c r="D397" s="116">
        <f>D398</f>
        <v>0</v>
      </c>
      <c r="E397" s="116">
        <f>E398</f>
        <v>100000</v>
      </c>
      <c r="F397" s="116">
        <f>F398</f>
        <v>100000</v>
      </c>
    </row>
    <row r="398" spans="1:6" ht="16.5" hidden="1">
      <c r="A398" s="74" t="s">
        <v>39</v>
      </c>
      <c r="B398" s="58" t="s">
        <v>336</v>
      </c>
      <c r="C398" s="60">
        <v>540</v>
      </c>
      <c r="D398" s="116">
        <f>'Вед. 2020'!G632</f>
        <v>0</v>
      </c>
      <c r="E398" s="116">
        <f>'Вед. 2020'!H632</f>
        <v>100000</v>
      </c>
      <c r="F398" s="116">
        <f>'Вед. 2020'!I632</f>
        <v>100000</v>
      </c>
    </row>
    <row r="399" spans="1:6" ht="49.5">
      <c r="A399" s="41" t="s">
        <v>453</v>
      </c>
      <c r="B399" s="58" t="s">
        <v>337</v>
      </c>
      <c r="C399" s="60"/>
      <c r="D399" s="116">
        <f>D400</f>
        <v>50000</v>
      </c>
      <c r="E399" s="116">
        <f>E400</f>
        <v>0</v>
      </c>
      <c r="F399" s="116">
        <f>F400</f>
        <v>0</v>
      </c>
    </row>
    <row r="400" spans="1:6" ht="16.5">
      <c r="A400" s="74" t="s">
        <v>39</v>
      </c>
      <c r="B400" s="58" t="s">
        <v>337</v>
      </c>
      <c r="C400" s="60">
        <v>540</v>
      </c>
      <c r="D400" s="116">
        <f>'Вед. 2020'!G634</f>
        <v>50000</v>
      </c>
      <c r="E400" s="116">
        <f>'Вед. 2020'!H634</f>
        <v>0</v>
      </c>
      <c r="F400" s="116">
        <f>'Вед. 2020'!I634</f>
        <v>0</v>
      </c>
    </row>
    <row r="401" spans="1:6" ht="16.5">
      <c r="A401" s="41" t="s">
        <v>108</v>
      </c>
      <c r="B401" s="58" t="s">
        <v>267</v>
      </c>
      <c r="C401" s="60"/>
      <c r="D401" s="116">
        <f aca="true" t="shared" si="27" ref="D401:F403">D402</f>
        <v>40000</v>
      </c>
      <c r="E401" s="116">
        <f t="shared" si="27"/>
        <v>30000</v>
      </c>
      <c r="F401" s="116">
        <f t="shared" si="27"/>
        <v>1000</v>
      </c>
    </row>
    <row r="402" spans="1:6" ht="16.5">
      <c r="A402" s="102" t="s">
        <v>314</v>
      </c>
      <c r="B402" s="58" t="s">
        <v>315</v>
      </c>
      <c r="C402" s="60"/>
      <c r="D402" s="116">
        <f t="shared" si="27"/>
        <v>40000</v>
      </c>
      <c r="E402" s="116">
        <f t="shared" si="27"/>
        <v>30000</v>
      </c>
      <c r="F402" s="116">
        <f t="shared" si="27"/>
        <v>1000</v>
      </c>
    </row>
    <row r="403" spans="1:6" ht="49.5">
      <c r="A403" s="102" t="s">
        <v>198</v>
      </c>
      <c r="B403" s="58" t="s">
        <v>316</v>
      </c>
      <c r="C403" s="60"/>
      <c r="D403" s="116">
        <f t="shared" si="27"/>
        <v>40000</v>
      </c>
      <c r="E403" s="116">
        <f t="shared" si="27"/>
        <v>30000</v>
      </c>
      <c r="F403" s="116">
        <f t="shared" si="27"/>
        <v>1000</v>
      </c>
    </row>
    <row r="404" spans="1:6" ht="16.5">
      <c r="A404" s="74" t="s">
        <v>39</v>
      </c>
      <c r="B404" s="58" t="s">
        <v>316</v>
      </c>
      <c r="C404" s="60">
        <v>540</v>
      </c>
      <c r="D404" s="116">
        <f>'Вед. 2020'!G638</f>
        <v>40000</v>
      </c>
      <c r="E404" s="116">
        <f>'Вед. 2020'!H638</f>
        <v>30000</v>
      </c>
      <c r="F404" s="116">
        <f>'Вед. 2020'!I638</f>
        <v>1000</v>
      </c>
    </row>
    <row r="405" spans="1:6" ht="16.5">
      <c r="A405" s="68" t="s">
        <v>317</v>
      </c>
      <c r="B405" s="58" t="s">
        <v>318</v>
      </c>
      <c r="C405" s="60"/>
      <c r="D405" s="116">
        <f aca="true" t="shared" si="28" ref="D405:F406">D406</f>
        <v>8794900</v>
      </c>
      <c r="E405" s="116">
        <f t="shared" si="28"/>
        <v>8794900</v>
      </c>
      <c r="F405" s="116">
        <f t="shared" si="28"/>
        <v>8792950</v>
      </c>
    </row>
    <row r="406" spans="1:6" ht="16.5">
      <c r="A406" s="68" t="s">
        <v>177</v>
      </c>
      <c r="B406" s="58" t="s">
        <v>319</v>
      </c>
      <c r="C406" s="60"/>
      <c r="D406" s="116">
        <f t="shared" si="28"/>
        <v>8794900</v>
      </c>
      <c r="E406" s="116">
        <f t="shared" si="28"/>
        <v>8794900</v>
      </c>
      <c r="F406" s="116">
        <f t="shared" si="28"/>
        <v>8792950</v>
      </c>
    </row>
    <row r="407" spans="1:6" ht="16.5">
      <c r="A407" s="68" t="s">
        <v>129</v>
      </c>
      <c r="B407" s="58" t="s">
        <v>320</v>
      </c>
      <c r="C407" s="60"/>
      <c r="D407" s="116">
        <f>D408+D409+D410</f>
        <v>8794900</v>
      </c>
      <c r="E407" s="116">
        <f>E408+E409+E410</f>
        <v>8794900</v>
      </c>
      <c r="F407" s="116">
        <f>F408+F409+F410</f>
        <v>8792950</v>
      </c>
    </row>
    <row r="408" spans="1:6" ht="33">
      <c r="A408" s="41" t="s">
        <v>127</v>
      </c>
      <c r="B408" s="58" t="s">
        <v>320</v>
      </c>
      <c r="C408" s="60">
        <v>120</v>
      </c>
      <c r="D408" s="116">
        <f>'Вед. 2020'!G512</f>
        <v>7209100</v>
      </c>
      <c r="E408" s="116">
        <f>'Вед. 2020'!H512</f>
        <v>7209100</v>
      </c>
      <c r="F408" s="116">
        <f>'Вед. 2020'!I512</f>
        <v>7209100</v>
      </c>
    </row>
    <row r="409" spans="1:6" ht="33">
      <c r="A409" s="41" t="s">
        <v>130</v>
      </c>
      <c r="B409" s="58" t="s">
        <v>320</v>
      </c>
      <c r="C409" s="60">
        <v>240</v>
      </c>
      <c r="D409" s="116">
        <f>'Вед. 2020'!G513</f>
        <v>1583750</v>
      </c>
      <c r="E409" s="116">
        <f>'Вед. 2020'!H513</f>
        <v>1583750</v>
      </c>
      <c r="F409" s="116">
        <f>'Вед. 2020'!I513</f>
        <v>1581800</v>
      </c>
    </row>
    <row r="410" spans="1:6" ht="16.5">
      <c r="A410" s="41" t="s">
        <v>132</v>
      </c>
      <c r="B410" s="58" t="s">
        <v>320</v>
      </c>
      <c r="C410" s="60">
        <v>850</v>
      </c>
      <c r="D410" s="116">
        <f>'Вед. 2020'!G514</f>
        <v>2050</v>
      </c>
      <c r="E410" s="116">
        <f>'Вед. 2020'!H514</f>
        <v>2050</v>
      </c>
      <c r="F410" s="116">
        <f>'Вед. 2020'!I514</f>
        <v>2050</v>
      </c>
    </row>
    <row r="411" spans="1:6" ht="33">
      <c r="A411" s="41" t="s">
        <v>1143</v>
      </c>
      <c r="B411" s="117" t="s">
        <v>239</v>
      </c>
      <c r="C411" s="60"/>
      <c r="D411" s="116">
        <f>D412</f>
        <v>107000</v>
      </c>
      <c r="E411" s="116">
        <f>E412</f>
        <v>109000</v>
      </c>
      <c r="F411" s="116">
        <f>F412</f>
        <v>110000</v>
      </c>
    </row>
    <row r="412" spans="1:6" ht="16.5">
      <c r="A412" s="41" t="s">
        <v>418</v>
      </c>
      <c r="B412" s="58" t="s">
        <v>419</v>
      </c>
      <c r="C412" s="60"/>
      <c r="D412" s="116">
        <f>D413+D415</f>
        <v>107000</v>
      </c>
      <c r="E412" s="116">
        <f>E413+E415</f>
        <v>109000</v>
      </c>
      <c r="F412" s="116">
        <f>F413+F415</f>
        <v>110000</v>
      </c>
    </row>
    <row r="413" spans="1:6" ht="33">
      <c r="A413" s="41" t="s">
        <v>143</v>
      </c>
      <c r="B413" s="58" t="s">
        <v>421</v>
      </c>
      <c r="C413" s="60"/>
      <c r="D413" s="116">
        <f>D414</f>
        <v>50000</v>
      </c>
      <c r="E413" s="116">
        <f>E414</f>
        <v>50000</v>
      </c>
      <c r="F413" s="116">
        <f>F414</f>
        <v>50000</v>
      </c>
    </row>
    <row r="414" spans="1:6" ht="33">
      <c r="A414" s="41" t="s">
        <v>130</v>
      </c>
      <c r="B414" s="58" t="s">
        <v>421</v>
      </c>
      <c r="C414" s="60">
        <v>240</v>
      </c>
      <c r="D414" s="116">
        <f>'Вед. 2020'!G763+'Вед. 2020'!G144</f>
        <v>50000</v>
      </c>
      <c r="E414" s="116">
        <f>'Вед. 2020'!H763+'Вед. 2020'!H144</f>
        <v>50000</v>
      </c>
      <c r="F414" s="116">
        <f>'Вед. 2020'!I763+'Вед. 2020'!I144</f>
        <v>50000</v>
      </c>
    </row>
    <row r="415" spans="1:6" ht="49.5">
      <c r="A415" s="40" t="s">
        <v>197</v>
      </c>
      <c r="B415" s="58" t="s">
        <v>422</v>
      </c>
      <c r="C415" s="60"/>
      <c r="D415" s="116">
        <f>D416</f>
        <v>57000</v>
      </c>
      <c r="E415" s="116">
        <f>E416</f>
        <v>59000</v>
      </c>
      <c r="F415" s="116">
        <f>F416</f>
        <v>60000</v>
      </c>
    </row>
    <row r="416" spans="1:6" ht="16.5">
      <c r="A416" s="74" t="s">
        <v>39</v>
      </c>
      <c r="B416" s="58" t="s">
        <v>422</v>
      </c>
      <c r="C416" s="60">
        <v>540</v>
      </c>
      <c r="D416" s="116">
        <f>'Вед. 2020'!G621</f>
        <v>57000</v>
      </c>
      <c r="E416" s="116">
        <f>'Вед. 2020'!H621</f>
        <v>59000</v>
      </c>
      <c r="F416" s="116">
        <f>'Вед. 2020'!I621</f>
        <v>60000</v>
      </c>
    </row>
    <row r="417" spans="1:6" ht="49.5">
      <c r="A417" s="121" t="s">
        <v>201</v>
      </c>
      <c r="B417" s="137" t="s">
        <v>210</v>
      </c>
      <c r="C417" s="138"/>
      <c r="D417" s="139">
        <f>D418+D425+D428+D433+D438+D444</f>
        <v>46323356.1</v>
      </c>
      <c r="E417" s="139">
        <f>E418+E425+E428+E433+E438+E444</f>
        <v>42612000</v>
      </c>
      <c r="F417" s="139">
        <f>F418+F425+F428+F433+F438+F444</f>
        <v>42612000</v>
      </c>
    </row>
    <row r="418" spans="1:6" ht="33">
      <c r="A418" s="41" t="s">
        <v>175</v>
      </c>
      <c r="B418" s="18" t="s">
        <v>211</v>
      </c>
      <c r="C418" s="118"/>
      <c r="D418" s="70">
        <f>D419+D421</f>
        <v>4462000</v>
      </c>
      <c r="E418" s="70">
        <f>E419+E421</f>
        <v>4430000</v>
      </c>
      <c r="F418" s="70">
        <f>F419+F421</f>
        <v>4430000</v>
      </c>
    </row>
    <row r="419" spans="1:6" ht="33">
      <c r="A419" s="41" t="s">
        <v>126</v>
      </c>
      <c r="B419" s="18" t="s">
        <v>212</v>
      </c>
      <c r="C419" s="118"/>
      <c r="D419" s="70">
        <f>D420</f>
        <v>1636500</v>
      </c>
      <c r="E419" s="70">
        <f>E420</f>
        <v>1636500</v>
      </c>
      <c r="F419" s="70">
        <f>F420</f>
        <v>1636500</v>
      </c>
    </row>
    <row r="420" spans="1:6" ht="33">
      <c r="A420" s="41" t="s">
        <v>127</v>
      </c>
      <c r="B420" s="18" t="s">
        <v>212</v>
      </c>
      <c r="C420" s="18" t="s">
        <v>128</v>
      </c>
      <c r="D420" s="70">
        <f>'Вед. 2020'!G24</f>
        <v>1636500</v>
      </c>
      <c r="E420" s="70">
        <f>'Вед. 2020'!H24</f>
        <v>1636500</v>
      </c>
      <c r="F420" s="70">
        <f>'Вед. 2020'!I24</f>
        <v>1636500</v>
      </c>
    </row>
    <row r="421" spans="1:6" ht="16.5">
      <c r="A421" s="41" t="s">
        <v>129</v>
      </c>
      <c r="B421" s="18" t="s">
        <v>213</v>
      </c>
      <c r="C421" s="18"/>
      <c r="D421" s="70">
        <f>D422+D423+D424</f>
        <v>2825500</v>
      </c>
      <c r="E421" s="70">
        <f>E422+E423+E424</f>
        <v>2793500</v>
      </c>
      <c r="F421" s="70">
        <f>F422+F423+F424</f>
        <v>2793500</v>
      </c>
    </row>
    <row r="422" spans="1:6" ht="33">
      <c r="A422" s="41" t="s">
        <v>127</v>
      </c>
      <c r="B422" s="18" t="s">
        <v>213</v>
      </c>
      <c r="C422" s="18" t="s">
        <v>128</v>
      </c>
      <c r="D422" s="70">
        <f>'Вед. 2020'!G26</f>
        <v>1970400</v>
      </c>
      <c r="E422" s="70">
        <f>'Вед. 2020'!H26</f>
        <v>1970400</v>
      </c>
      <c r="F422" s="70">
        <f>'Вед. 2020'!I26</f>
        <v>1970400</v>
      </c>
    </row>
    <row r="423" spans="1:6" ht="33">
      <c r="A423" s="72" t="s">
        <v>130</v>
      </c>
      <c r="B423" s="18" t="s">
        <v>213</v>
      </c>
      <c r="C423" s="18" t="s">
        <v>131</v>
      </c>
      <c r="D423" s="70">
        <f>'Вед. 2020'!G27</f>
        <v>853500</v>
      </c>
      <c r="E423" s="70">
        <f>'Вед. 2020'!H27</f>
        <v>821500</v>
      </c>
      <c r="F423" s="70">
        <f>'Вед. 2020'!I27</f>
        <v>821500</v>
      </c>
    </row>
    <row r="424" spans="1:6" ht="16.5">
      <c r="A424" s="95" t="s">
        <v>132</v>
      </c>
      <c r="B424" s="18" t="s">
        <v>213</v>
      </c>
      <c r="C424" s="18" t="s">
        <v>133</v>
      </c>
      <c r="D424" s="70">
        <f>'Вед. 2020'!G28</f>
        <v>1600</v>
      </c>
      <c r="E424" s="70">
        <f>'Вед. 2020'!H28</f>
        <v>1600</v>
      </c>
      <c r="F424" s="70">
        <f>'Вед. 2020'!I28</f>
        <v>1600</v>
      </c>
    </row>
    <row r="425" spans="1:6" ht="16.5">
      <c r="A425" s="41" t="s">
        <v>176</v>
      </c>
      <c r="B425" s="18" t="s">
        <v>208</v>
      </c>
      <c r="C425" s="18"/>
      <c r="D425" s="70">
        <f aca="true" t="shared" si="29" ref="D425:F426">D426</f>
        <v>2000100</v>
      </c>
      <c r="E425" s="70">
        <f t="shared" si="29"/>
        <v>2000100</v>
      </c>
      <c r="F425" s="70">
        <f t="shared" si="29"/>
        <v>2000100</v>
      </c>
    </row>
    <row r="426" spans="1:6" ht="16.5">
      <c r="A426" s="41" t="s">
        <v>55</v>
      </c>
      <c r="B426" s="18" t="s">
        <v>209</v>
      </c>
      <c r="C426" s="18"/>
      <c r="D426" s="70">
        <f t="shared" si="29"/>
        <v>2000100</v>
      </c>
      <c r="E426" s="70">
        <f t="shared" si="29"/>
        <v>2000100</v>
      </c>
      <c r="F426" s="70">
        <f t="shared" si="29"/>
        <v>2000100</v>
      </c>
    </row>
    <row r="427" spans="1:6" ht="33">
      <c r="A427" s="41" t="s">
        <v>127</v>
      </c>
      <c r="B427" s="18" t="s">
        <v>209</v>
      </c>
      <c r="C427" s="18" t="s">
        <v>128</v>
      </c>
      <c r="D427" s="70">
        <f>'Вед. 2020'!G54</f>
        <v>2000100</v>
      </c>
      <c r="E427" s="70">
        <f>'Вед. 2020'!H54</f>
        <v>2000100</v>
      </c>
      <c r="F427" s="70">
        <f>'Вед. 2020'!I54</f>
        <v>2000100</v>
      </c>
    </row>
    <row r="428" spans="1:6" ht="33">
      <c r="A428" s="41" t="s">
        <v>202</v>
      </c>
      <c r="B428" s="18" t="s">
        <v>218</v>
      </c>
      <c r="C428" s="118"/>
      <c r="D428" s="70">
        <f>D429+D431</f>
        <v>2931300.1</v>
      </c>
      <c r="E428" s="70">
        <f>E429+E431</f>
        <v>0</v>
      </c>
      <c r="F428" s="70">
        <f>F429+F431</f>
        <v>0</v>
      </c>
    </row>
    <row r="429" spans="1:6" ht="33">
      <c r="A429" s="41" t="s">
        <v>204</v>
      </c>
      <c r="B429" s="18" t="s">
        <v>219</v>
      </c>
      <c r="C429" s="118"/>
      <c r="D429" s="70">
        <f>D430</f>
        <v>2176527.7</v>
      </c>
      <c r="E429" s="70">
        <f>E430</f>
        <v>0</v>
      </c>
      <c r="F429" s="70">
        <f>F430</f>
        <v>0</v>
      </c>
    </row>
    <row r="430" spans="1:6" ht="16.5">
      <c r="A430" s="72" t="s">
        <v>541</v>
      </c>
      <c r="B430" s="18" t="s">
        <v>219</v>
      </c>
      <c r="C430" s="18" t="s">
        <v>540</v>
      </c>
      <c r="D430" s="70">
        <f>'Вед. 2020'!G76</f>
        <v>2176527.7</v>
      </c>
      <c r="E430" s="70">
        <f>'Вед. 2020'!H76</f>
        <v>0</v>
      </c>
      <c r="F430" s="70">
        <f>'Вед. 2020'!I76</f>
        <v>0</v>
      </c>
    </row>
    <row r="431" spans="1:6" ht="16.5">
      <c r="A431" s="41" t="s">
        <v>203</v>
      </c>
      <c r="B431" s="18" t="s">
        <v>220</v>
      </c>
      <c r="C431" s="18"/>
      <c r="D431" s="70">
        <f>D432</f>
        <v>754772.4</v>
      </c>
      <c r="E431" s="70">
        <f>E432</f>
        <v>0</v>
      </c>
      <c r="F431" s="70">
        <f>F432</f>
        <v>0</v>
      </c>
    </row>
    <row r="432" spans="1:6" ht="16.5">
      <c r="A432" s="72" t="s">
        <v>541</v>
      </c>
      <c r="B432" s="18" t="s">
        <v>220</v>
      </c>
      <c r="C432" s="18" t="s">
        <v>540</v>
      </c>
      <c r="D432" s="70">
        <f>'Вед. 2020'!G78</f>
        <v>754772.4</v>
      </c>
      <c r="E432" s="70">
        <f>'Вед. 2020'!H78</f>
        <v>0</v>
      </c>
      <c r="F432" s="70">
        <f>'Вед. 2020'!I78</f>
        <v>0</v>
      </c>
    </row>
    <row r="433" spans="1:6" ht="33">
      <c r="A433" s="41" t="s">
        <v>174</v>
      </c>
      <c r="B433" s="18" t="s">
        <v>216</v>
      </c>
      <c r="C433" s="18"/>
      <c r="D433" s="70">
        <f>D434+D436</f>
        <v>1487000</v>
      </c>
      <c r="E433" s="70">
        <f>E434+E436</f>
        <v>1487000</v>
      </c>
      <c r="F433" s="70">
        <f>F434+F436</f>
        <v>1487000</v>
      </c>
    </row>
    <row r="434" spans="1:6" ht="33">
      <c r="A434" s="41" t="s">
        <v>134</v>
      </c>
      <c r="B434" s="18" t="s">
        <v>217</v>
      </c>
      <c r="C434" s="19"/>
      <c r="D434" s="70">
        <f>D435</f>
        <v>900400</v>
      </c>
      <c r="E434" s="70">
        <f>E435</f>
        <v>900400</v>
      </c>
      <c r="F434" s="70">
        <f>F435</f>
        <v>900400</v>
      </c>
    </row>
    <row r="435" spans="1:6" ht="33">
      <c r="A435" s="41" t="s">
        <v>127</v>
      </c>
      <c r="B435" s="18" t="s">
        <v>217</v>
      </c>
      <c r="C435" s="18" t="s">
        <v>128</v>
      </c>
      <c r="D435" s="70">
        <f>'Вед. 2020'!G33</f>
        <v>900400</v>
      </c>
      <c r="E435" s="70">
        <f>'Вед. 2020'!H33</f>
        <v>900400</v>
      </c>
      <c r="F435" s="70">
        <f>'Вед. 2020'!I33</f>
        <v>900400</v>
      </c>
    </row>
    <row r="436" spans="1:6" ht="16.5">
      <c r="A436" s="41" t="s">
        <v>129</v>
      </c>
      <c r="B436" s="18" t="s">
        <v>436</v>
      </c>
      <c r="C436" s="18"/>
      <c r="D436" s="70">
        <f>D437</f>
        <v>586600</v>
      </c>
      <c r="E436" s="70">
        <f>E437</f>
        <v>586600</v>
      </c>
      <c r="F436" s="70">
        <f>F437</f>
        <v>586600</v>
      </c>
    </row>
    <row r="437" spans="1:6" ht="33">
      <c r="A437" s="41" t="s">
        <v>127</v>
      </c>
      <c r="B437" s="18" t="s">
        <v>436</v>
      </c>
      <c r="C437" s="18" t="s">
        <v>128</v>
      </c>
      <c r="D437" s="70">
        <f>'Вед. 2020'!G35</f>
        <v>586600</v>
      </c>
      <c r="E437" s="70">
        <f>'Вед. 2020'!H35</f>
        <v>586600</v>
      </c>
      <c r="F437" s="70">
        <f>'Вед. 2020'!I35</f>
        <v>586600</v>
      </c>
    </row>
    <row r="438" spans="1:6" s="85" customFormat="1" ht="16.5">
      <c r="A438" s="41" t="s">
        <v>177</v>
      </c>
      <c r="B438" s="18" t="s">
        <v>214</v>
      </c>
      <c r="C438" s="18"/>
      <c r="D438" s="43">
        <f>D439</f>
        <v>25028600</v>
      </c>
      <c r="E438" s="43">
        <f>E439</f>
        <v>25024400</v>
      </c>
      <c r="F438" s="43">
        <f>F439</f>
        <v>25024400</v>
      </c>
    </row>
    <row r="439" spans="1:6" ht="16.5">
      <c r="A439" s="41" t="s">
        <v>129</v>
      </c>
      <c r="B439" s="18" t="s">
        <v>215</v>
      </c>
      <c r="C439" s="18"/>
      <c r="D439" s="70">
        <f>D440+D441+D443+D442</f>
        <v>25028600</v>
      </c>
      <c r="E439" s="70">
        <f>E440+E441+E443+E442</f>
        <v>25024400</v>
      </c>
      <c r="F439" s="70">
        <f>F440+F441+F443+F442</f>
        <v>25024400</v>
      </c>
    </row>
    <row r="440" spans="1:6" ht="33">
      <c r="A440" s="41" t="s">
        <v>127</v>
      </c>
      <c r="B440" s="18" t="s">
        <v>215</v>
      </c>
      <c r="C440" s="18" t="s">
        <v>128</v>
      </c>
      <c r="D440" s="70">
        <f>'Вед. 2020'!G69</f>
        <v>16108900</v>
      </c>
      <c r="E440" s="70">
        <f>'Вед. 2020'!H69</f>
        <v>16108900</v>
      </c>
      <c r="F440" s="70">
        <f>'Вед. 2020'!I69</f>
        <v>16108900</v>
      </c>
    </row>
    <row r="441" spans="1:6" ht="33">
      <c r="A441" s="72" t="s">
        <v>130</v>
      </c>
      <c r="B441" s="18" t="s">
        <v>215</v>
      </c>
      <c r="C441" s="18" t="s">
        <v>131</v>
      </c>
      <c r="D441" s="70">
        <f>'Вед. 2020'!G70</f>
        <v>8752300</v>
      </c>
      <c r="E441" s="70">
        <f>'Вед. 2020'!H70</f>
        <v>8748100</v>
      </c>
      <c r="F441" s="70">
        <f>'Вед. 2020'!I70</f>
        <v>8748100</v>
      </c>
    </row>
    <row r="442" spans="1:6" s="85" customFormat="1" ht="16.5" hidden="1">
      <c r="A442" s="95" t="s">
        <v>194</v>
      </c>
      <c r="B442" s="18" t="s">
        <v>215</v>
      </c>
      <c r="C442" s="18" t="s">
        <v>193</v>
      </c>
      <c r="D442" s="43">
        <f>'Вед. 2020'!G694</f>
        <v>0</v>
      </c>
      <c r="E442" s="43">
        <f>'Вед. 2020'!H694</f>
        <v>0</v>
      </c>
      <c r="F442" s="43">
        <f>'Вед. 2020'!I694</f>
        <v>0</v>
      </c>
    </row>
    <row r="443" spans="1:6" ht="16.5">
      <c r="A443" s="95" t="s">
        <v>132</v>
      </c>
      <c r="B443" s="18" t="s">
        <v>215</v>
      </c>
      <c r="C443" s="18" t="s">
        <v>133</v>
      </c>
      <c r="D443" s="70">
        <f>'Вед. 2020'!G71</f>
        <v>167400</v>
      </c>
      <c r="E443" s="70">
        <f>'Вед. 2020'!H71</f>
        <v>167400</v>
      </c>
      <c r="F443" s="70">
        <f>'Вед. 2020'!I71</f>
        <v>167400</v>
      </c>
    </row>
    <row r="444" spans="1:6" ht="16.5">
      <c r="A444" s="41" t="s">
        <v>46</v>
      </c>
      <c r="B444" s="18" t="s">
        <v>226</v>
      </c>
      <c r="C444" s="118"/>
      <c r="D444" s="70">
        <f>D445+D447+D453+D451</f>
        <v>10414356</v>
      </c>
      <c r="E444" s="70">
        <f>E445+E447+E453+E451</f>
        <v>9670500</v>
      </c>
      <c r="F444" s="70">
        <f>F445+F447+F453+F451</f>
        <v>9670500</v>
      </c>
    </row>
    <row r="445" spans="1:6" ht="49.5">
      <c r="A445" s="41" t="s">
        <v>149</v>
      </c>
      <c r="B445" s="18" t="s">
        <v>345</v>
      </c>
      <c r="C445" s="118"/>
      <c r="D445" s="70">
        <f>D446</f>
        <v>7044600</v>
      </c>
      <c r="E445" s="70">
        <f>E446</f>
        <v>7045000</v>
      </c>
      <c r="F445" s="70">
        <f>F446</f>
        <v>7045000</v>
      </c>
    </row>
    <row r="446" spans="1:6" ht="16.5">
      <c r="A446" s="95" t="s">
        <v>150</v>
      </c>
      <c r="B446" s="18" t="s">
        <v>345</v>
      </c>
      <c r="C446" s="19" t="s">
        <v>151</v>
      </c>
      <c r="D446" s="70">
        <f>'Вед. 2020'!G173</f>
        <v>7044600</v>
      </c>
      <c r="E446" s="70">
        <f>'Вед. 2020'!H173</f>
        <v>7045000</v>
      </c>
      <c r="F446" s="70">
        <f>'Вед. 2020'!I173</f>
        <v>7045000</v>
      </c>
    </row>
    <row r="447" spans="1:6" s="85" customFormat="1" ht="16.5">
      <c r="A447" s="95" t="s">
        <v>180</v>
      </c>
      <c r="B447" s="18" t="s">
        <v>227</v>
      </c>
      <c r="C447" s="18"/>
      <c r="D447" s="43">
        <f>D448+D449+D450</f>
        <v>354756</v>
      </c>
      <c r="E447" s="43">
        <f>E448+E449+E450</f>
        <v>225500</v>
      </c>
      <c r="F447" s="43">
        <f>F448+F449+F450</f>
        <v>225500</v>
      </c>
    </row>
    <row r="448" spans="1:6" s="85" customFormat="1" ht="33">
      <c r="A448" s="72" t="s">
        <v>130</v>
      </c>
      <c r="B448" s="18" t="s">
        <v>227</v>
      </c>
      <c r="C448" s="18" t="s">
        <v>131</v>
      </c>
      <c r="D448" s="43">
        <f>'Вед. 2020'!G113+'Вед. 2020'!G602</f>
        <v>68600</v>
      </c>
      <c r="E448" s="43">
        <f>'Вед. 2020'!H113</f>
        <v>61500</v>
      </c>
      <c r="F448" s="43">
        <f>'Вед. 2020'!I113</f>
        <v>61500</v>
      </c>
    </row>
    <row r="449" spans="1:6" s="85" customFormat="1" ht="16.5">
      <c r="A449" s="95" t="s">
        <v>194</v>
      </c>
      <c r="B449" s="18" t="s">
        <v>227</v>
      </c>
      <c r="C449" s="18" t="s">
        <v>193</v>
      </c>
      <c r="D449" s="43">
        <f>'Вед. 2020'!G41+'Вед. 2020'!G114+'Вед. 2020'!G483+'Вед. 2020'!G708</f>
        <v>202156</v>
      </c>
      <c r="E449" s="43">
        <f>'Вед. 2020'!H114+'Вед. 2020'!H483</f>
        <v>80000</v>
      </c>
      <c r="F449" s="43">
        <f>'Вед. 2020'!I114+'Вед. 2020'!I483</f>
        <v>80000</v>
      </c>
    </row>
    <row r="450" spans="1:6" s="85" customFormat="1" ht="16.5">
      <c r="A450" s="95" t="s">
        <v>132</v>
      </c>
      <c r="B450" s="18" t="s">
        <v>227</v>
      </c>
      <c r="C450" s="18" t="s">
        <v>133</v>
      </c>
      <c r="D450" s="43">
        <f>'Вед. 2020'!G115+'Вед. 2020'!G484</f>
        <v>84000</v>
      </c>
      <c r="E450" s="43">
        <f>'Вед. 2020'!H115+'Вед. 2020'!H484</f>
        <v>84000</v>
      </c>
      <c r="F450" s="43">
        <f>'Вед. 2020'!I115+'Вед. 2020'!I484</f>
        <v>84000</v>
      </c>
    </row>
    <row r="451" spans="1:6" s="85" customFormat="1" ht="16.5">
      <c r="A451" s="95" t="s">
        <v>1290</v>
      </c>
      <c r="B451" s="18" t="s">
        <v>1291</v>
      </c>
      <c r="C451" s="18"/>
      <c r="D451" s="42">
        <f>D452</f>
        <v>615000</v>
      </c>
      <c r="E451" s="42">
        <f>E452</f>
        <v>0</v>
      </c>
      <c r="F451" s="42">
        <f>F452</f>
        <v>0</v>
      </c>
    </row>
    <row r="452" spans="1:6" s="85" customFormat="1" ht="33">
      <c r="A452" s="41" t="s">
        <v>130</v>
      </c>
      <c r="B452" s="18" t="s">
        <v>1291</v>
      </c>
      <c r="C452" s="18" t="s">
        <v>131</v>
      </c>
      <c r="D452" s="42">
        <f>'Вед. 2020'!G117</f>
        <v>615000</v>
      </c>
      <c r="E452" s="42">
        <f>'Вед. 2020'!H117</f>
        <v>0</v>
      </c>
      <c r="F452" s="42">
        <f>'Вед. 2020'!I117</f>
        <v>0</v>
      </c>
    </row>
    <row r="453" spans="1:6" ht="49.5">
      <c r="A453" s="41" t="s">
        <v>480</v>
      </c>
      <c r="B453" s="18" t="s">
        <v>481</v>
      </c>
      <c r="C453" s="59"/>
      <c r="D453" s="43">
        <f>D454</f>
        <v>2400000</v>
      </c>
      <c r="E453" s="43">
        <f>E454</f>
        <v>2400000</v>
      </c>
      <c r="F453" s="43">
        <f>F454</f>
        <v>2400000</v>
      </c>
    </row>
    <row r="454" spans="1:6" ht="33">
      <c r="A454" s="41" t="s">
        <v>130</v>
      </c>
      <c r="B454" s="18" t="s">
        <v>481</v>
      </c>
      <c r="C454" s="59">
        <v>240</v>
      </c>
      <c r="D454" s="43">
        <f>'Вед. 2020'!G765</f>
        <v>2400000</v>
      </c>
      <c r="E454" s="43">
        <f>'Вед. 2020'!H765</f>
        <v>2400000</v>
      </c>
      <c r="F454" s="43">
        <f>'Вед. 2020'!I765</f>
        <v>2400000</v>
      </c>
    </row>
    <row r="455" spans="1:7" ht="16.5">
      <c r="A455" s="140" t="s">
        <v>443</v>
      </c>
      <c r="B455" s="137"/>
      <c r="C455" s="138"/>
      <c r="D455" s="139">
        <f>D19+D417</f>
        <v>1420967782.6399999</v>
      </c>
      <c r="E455" s="139">
        <f>E19+E417</f>
        <v>1112340511</v>
      </c>
      <c r="F455" s="139">
        <f>F19+F417</f>
        <v>1267214826</v>
      </c>
      <c r="G455" s="85"/>
    </row>
    <row r="456" spans="4:7" ht="16.5">
      <c r="D456" s="115">
        <f>D455-'Вед. 2020'!G779</f>
        <v>0</v>
      </c>
      <c r="E456" s="115">
        <f>E455-'Вед. 2020'!H779</f>
        <v>0</v>
      </c>
      <c r="F456" s="115">
        <f>F455-'Вед. 2020'!I779</f>
        <v>0</v>
      </c>
      <c r="G456" s="85"/>
    </row>
    <row r="457" ht="16.5">
      <c r="G457" s="85"/>
    </row>
    <row r="458" ht="16.5">
      <c r="G458" s="85"/>
    </row>
    <row r="459" ht="16.5">
      <c r="G459" s="85"/>
    </row>
  </sheetData>
  <sheetProtection/>
  <mergeCells count="4">
    <mergeCell ref="A12:D12"/>
    <mergeCell ref="A13:D13"/>
    <mergeCell ref="A14:D14"/>
    <mergeCell ref="A15:D15"/>
  </mergeCells>
  <printOptions/>
  <pageMargins left="0.5905511811023623" right="0.1968503937007874" top="0.5905511811023623" bottom="0.5905511811023623" header="0.31496062992125984" footer="0.31496062992125984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375" style="0" customWidth="1"/>
    <col min="2" max="2" width="11.625" style="5" customWidth="1"/>
    <col min="3" max="3" width="13.75390625" style="5" customWidth="1"/>
    <col min="4" max="4" width="10.875" style="5" hidden="1" customWidth="1"/>
    <col min="5" max="5" width="5.375" style="5" hidden="1" customWidth="1"/>
    <col min="6" max="6" width="27.25390625" style="11" bestFit="1" customWidth="1"/>
    <col min="7" max="8" width="27.25390625" style="11" hidden="1" customWidth="1"/>
  </cols>
  <sheetData>
    <row r="1" spans="2:8" ht="18.75">
      <c r="B1" s="6" t="s">
        <v>189</v>
      </c>
      <c r="C1" s="36"/>
      <c r="D1" s="36"/>
      <c r="E1" s="36"/>
      <c r="F1" s="36"/>
      <c r="G1" s="36"/>
      <c r="H1" s="36"/>
    </row>
    <row r="2" spans="2:8" ht="18.75">
      <c r="B2" s="6" t="s">
        <v>119</v>
      </c>
      <c r="C2" s="36"/>
      <c r="D2" s="36"/>
      <c r="E2" s="36"/>
      <c r="F2" s="36"/>
      <c r="G2" s="36"/>
      <c r="H2" s="36"/>
    </row>
    <row r="3" spans="2:8" ht="18.75">
      <c r="B3" s="6" t="s">
        <v>109</v>
      </c>
      <c r="C3" s="36"/>
      <c r="D3" s="36"/>
      <c r="E3" s="36"/>
      <c r="F3" s="36"/>
      <c r="G3" s="36"/>
      <c r="H3" s="36"/>
    </row>
    <row r="4" spans="2:8" ht="18.75">
      <c r="B4" s="6" t="s">
        <v>120</v>
      </c>
      <c r="C4" s="36"/>
      <c r="D4" s="36"/>
      <c r="E4" s="36"/>
      <c r="F4" s="36"/>
      <c r="G4" s="36"/>
      <c r="H4" s="36"/>
    </row>
    <row r="5" spans="2:8" ht="18.75" customHeight="1">
      <c r="B5" s="6" t="s">
        <v>123</v>
      </c>
      <c r="C5" s="36"/>
      <c r="D5" s="36"/>
      <c r="E5" s="36"/>
      <c r="F5" s="36"/>
      <c r="G5" s="36"/>
      <c r="H5" s="36"/>
    </row>
    <row r="6" spans="2:8" ht="18.75">
      <c r="B6" s="6" t="s">
        <v>121</v>
      </c>
      <c r="C6" s="36"/>
      <c r="D6" s="36"/>
      <c r="E6" s="36"/>
      <c r="F6" s="36"/>
      <c r="G6" s="36"/>
      <c r="H6" s="36"/>
    </row>
    <row r="7" spans="2:8" ht="18.75">
      <c r="B7" s="6" t="s">
        <v>122</v>
      </c>
      <c r="C7" s="36"/>
      <c r="D7" s="36"/>
      <c r="E7" s="36"/>
      <c r="F7" s="36"/>
      <c r="G7" s="36"/>
      <c r="H7" s="36"/>
    </row>
    <row r="8" spans="1:8" ht="18.75">
      <c r="A8" s="3"/>
      <c r="B8" s="9"/>
      <c r="C8" s="6"/>
      <c r="D8" s="6"/>
      <c r="E8" s="6"/>
      <c r="F8" s="6"/>
      <c r="G8" s="6"/>
      <c r="H8" s="6"/>
    </row>
    <row r="9" spans="1:8" ht="16.5">
      <c r="A9" s="265" t="s">
        <v>61</v>
      </c>
      <c r="B9" s="265"/>
      <c r="C9" s="265"/>
      <c r="D9" s="265"/>
      <c r="E9" s="265"/>
      <c r="F9" s="265"/>
      <c r="G9"/>
      <c r="H9"/>
    </row>
    <row r="10" spans="1:8" ht="16.5">
      <c r="A10" s="265" t="s">
        <v>117</v>
      </c>
      <c r="B10" s="265"/>
      <c r="C10" s="265"/>
      <c r="D10" s="265"/>
      <c r="E10" s="265"/>
      <c r="F10" s="265"/>
      <c r="G10"/>
      <c r="H10"/>
    </row>
    <row r="11" spans="1:8" ht="16.5">
      <c r="A11" s="266" t="s">
        <v>124</v>
      </c>
      <c r="B11" s="266"/>
      <c r="C11" s="266"/>
      <c r="D11" s="266"/>
      <c r="E11" s="266"/>
      <c r="F11" s="266"/>
      <c r="G11"/>
      <c r="H11"/>
    </row>
    <row r="12" spans="1:8" ht="18">
      <c r="A12" s="2"/>
      <c r="B12" s="4"/>
      <c r="C12" s="4"/>
      <c r="D12" s="4"/>
      <c r="E12" s="4"/>
      <c r="F12" s="10" t="s">
        <v>0</v>
      </c>
      <c r="G12" s="10" t="s">
        <v>0</v>
      </c>
      <c r="H12" s="10" t="s">
        <v>0</v>
      </c>
    </row>
    <row r="13" spans="1:8" ht="51.75" customHeight="1">
      <c r="A13" s="44" t="s">
        <v>23</v>
      </c>
      <c r="B13" s="45" t="s">
        <v>24</v>
      </c>
      <c r="C13" s="45" t="s">
        <v>25</v>
      </c>
      <c r="D13" s="45" t="s">
        <v>26</v>
      </c>
      <c r="E13" s="45" t="s">
        <v>27</v>
      </c>
      <c r="F13" s="50" t="s">
        <v>125</v>
      </c>
      <c r="G13" s="50" t="s">
        <v>184</v>
      </c>
      <c r="H13" s="50" t="s">
        <v>185</v>
      </c>
    </row>
    <row r="14" spans="1:8" s="1" customFormat="1" ht="22.5" customHeight="1">
      <c r="A14" s="54" t="s">
        <v>45</v>
      </c>
      <c r="B14" s="24" t="s">
        <v>9</v>
      </c>
      <c r="C14" s="22"/>
      <c r="D14" s="22"/>
      <c r="E14" s="22"/>
      <c r="F14" s="53" t="e">
        <f>F15+F16+F17+F18+F19+F20+F21</f>
        <v>#REF!</v>
      </c>
      <c r="G14" s="53" t="e">
        <f>G15+G16+G17+G18+G19+G20+G21</f>
        <v>#REF!</v>
      </c>
      <c r="H14" s="53" t="e">
        <f>H15+H16+H17+H18+H19+H20+H21</f>
        <v>#REF!</v>
      </c>
    </row>
    <row r="15" spans="1:8" ht="33">
      <c r="A15" s="41" t="s">
        <v>31</v>
      </c>
      <c r="B15" s="19" t="s">
        <v>9</v>
      </c>
      <c r="C15" s="18" t="s">
        <v>14</v>
      </c>
      <c r="D15" s="18"/>
      <c r="E15" s="18"/>
      <c r="F15" s="42" t="e">
        <f>#REF!</f>
        <v>#REF!</v>
      </c>
      <c r="G15" s="42" t="e">
        <f>#REF!</f>
        <v>#REF!</v>
      </c>
      <c r="H15" s="42" t="e">
        <f>#REF!</f>
        <v>#REF!</v>
      </c>
    </row>
    <row r="16" spans="1:8" ht="33">
      <c r="A16" s="41" t="s">
        <v>111</v>
      </c>
      <c r="B16" s="19" t="s">
        <v>9</v>
      </c>
      <c r="C16" s="18" t="s">
        <v>18</v>
      </c>
      <c r="D16" s="18"/>
      <c r="E16" s="18"/>
      <c r="F16" s="42" t="e">
        <f>#REF!</f>
        <v>#REF!</v>
      </c>
      <c r="G16" s="42" t="e">
        <f>#REF!</f>
        <v>#REF!</v>
      </c>
      <c r="H16" s="42" t="e">
        <f>#REF!</f>
        <v>#REF!</v>
      </c>
    </row>
    <row r="17" spans="1:8" ht="49.5">
      <c r="A17" s="41" t="s">
        <v>69</v>
      </c>
      <c r="B17" s="19" t="s">
        <v>9</v>
      </c>
      <c r="C17" s="19" t="s">
        <v>12</v>
      </c>
      <c r="D17" s="19"/>
      <c r="E17" s="19"/>
      <c r="F17" s="42" t="e">
        <f>#REF!+#REF!+#REF!</f>
        <v>#REF!</v>
      </c>
      <c r="G17" s="42" t="e">
        <f>#REF!+#REF!+#REF!</f>
        <v>#REF!</v>
      </c>
      <c r="H17" s="42" t="e">
        <f>#REF!+#REF!+#REF!</f>
        <v>#REF!</v>
      </c>
    </row>
    <row r="18" spans="1:8" ht="33">
      <c r="A18" s="41" t="s">
        <v>56</v>
      </c>
      <c r="B18" s="19" t="s">
        <v>9</v>
      </c>
      <c r="C18" s="19" t="s">
        <v>15</v>
      </c>
      <c r="D18" s="18"/>
      <c r="E18" s="18"/>
      <c r="F18" s="42" t="e">
        <f>#REF!+#REF!</f>
        <v>#REF!</v>
      </c>
      <c r="G18" s="42" t="e">
        <f>#REF!+#REF!</f>
        <v>#REF!</v>
      </c>
      <c r="H18" s="42" t="e">
        <f>#REF!+#REF!</f>
        <v>#REF!</v>
      </c>
    </row>
    <row r="19" spans="1:8" ht="16.5">
      <c r="A19" s="41" t="s">
        <v>38</v>
      </c>
      <c r="B19" s="19" t="s">
        <v>9</v>
      </c>
      <c r="C19" s="19" t="s">
        <v>8</v>
      </c>
      <c r="D19" s="18"/>
      <c r="E19" s="18"/>
      <c r="F19" s="42">
        <v>0</v>
      </c>
      <c r="G19" s="42">
        <v>0</v>
      </c>
      <c r="H19" s="42">
        <v>0</v>
      </c>
    </row>
    <row r="20" spans="1:8" ht="16.5">
      <c r="A20" s="40" t="s">
        <v>106</v>
      </c>
      <c r="B20" s="17" t="s">
        <v>9</v>
      </c>
      <c r="C20" s="17" t="s">
        <v>17</v>
      </c>
      <c r="D20" s="17"/>
      <c r="E20" s="17"/>
      <c r="F20" s="43" t="e">
        <f>#REF!</f>
        <v>#REF!</v>
      </c>
      <c r="G20" s="43" t="e">
        <f>#REF!</f>
        <v>#REF!</v>
      </c>
      <c r="H20" s="43" t="e">
        <f>#REF!</f>
        <v>#REF!</v>
      </c>
    </row>
    <row r="21" spans="1:8" ht="16.5">
      <c r="A21" s="41" t="s">
        <v>46</v>
      </c>
      <c r="B21" s="19" t="s">
        <v>9</v>
      </c>
      <c r="C21" s="19" t="s">
        <v>19</v>
      </c>
      <c r="D21" s="18"/>
      <c r="E21" s="18"/>
      <c r="F21" s="42" t="e">
        <f>#REF!+#REF!+#REF!+#REF!</f>
        <v>#REF!</v>
      </c>
      <c r="G21" s="42" t="e">
        <f>#REF!+#REF!+#REF!+#REF!</f>
        <v>#REF!</v>
      </c>
      <c r="H21" s="42" t="e">
        <f>#REF!+#REF!+#REF!+#REF!</f>
        <v>#REF!</v>
      </c>
    </row>
    <row r="22" spans="1:8" s="1" customFormat="1" ht="16.5">
      <c r="A22" s="55" t="s">
        <v>74</v>
      </c>
      <c r="B22" s="20" t="s">
        <v>14</v>
      </c>
      <c r="C22" s="21"/>
      <c r="D22" s="21"/>
      <c r="E22" s="21"/>
      <c r="F22" s="51" t="e">
        <f>F23</f>
        <v>#REF!</v>
      </c>
      <c r="G22" s="51" t="e">
        <f>G23</f>
        <v>#REF!</v>
      </c>
      <c r="H22" s="51" t="e">
        <f>H23</f>
        <v>#REF!</v>
      </c>
    </row>
    <row r="23" spans="1:8" s="1" customFormat="1" ht="16.5">
      <c r="A23" s="41" t="s">
        <v>75</v>
      </c>
      <c r="B23" s="19" t="s">
        <v>14</v>
      </c>
      <c r="C23" s="18" t="s">
        <v>18</v>
      </c>
      <c r="D23" s="18"/>
      <c r="E23" s="18"/>
      <c r="F23" s="43" t="e">
        <f>#REF!</f>
        <v>#REF!</v>
      </c>
      <c r="G23" s="43" t="e">
        <f>#REF!</f>
        <v>#REF!</v>
      </c>
      <c r="H23" s="43" t="e">
        <f>#REF!</f>
        <v>#REF!</v>
      </c>
    </row>
    <row r="24" spans="1:8" s="7" customFormat="1" ht="16.5">
      <c r="A24" s="55" t="s">
        <v>36</v>
      </c>
      <c r="B24" s="20" t="s">
        <v>18</v>
      </c>
      <c r="C24" s="21"/>
      <c r="D24" s="21"/>
      <c r="E24" s="21"/>
      <c r="F24" s="51" t="e">
        <f>F25+F26+F27</f>
        <v>#REF!</v>
      </c>
      <c r="G24" s="51" t="e">
        <f>G25+G26+G27</f>
        <v>#REF!</v>
      </c>
      <c r="H24" s="51" t="e">
        <f>H25+H26+H27</f>
        <v>#REF!</v>
      </c>
    </row>
    <row r="25" spans="1:8" ht="16.5">
      <c r="A25" s="41" t="s">
        <v>37</v>
      </c>
      <c r="B25" s="19" t="s">
        <v>18</v>
      </c>
      <c r="C25" s="19" t="s">
        <v>14</v>
      </c>
      <c r="D25" s="18"/>
      <c r="E25" s="18"/>
      <c r="F25" s="42" t="e">
        <f>#REF!+#REF!</f>
        <v>#REF!</v>
      </c>
      <c r="G25" s="42" t="e">
        <f>#REF!+#REF!</f>
        <v>#REF!</v>
      </c>
      <c r="H25" s="42" t="e">
        <f>#REF!+#REF!</f>
        <v>#REF!</v>
      </c>
    </row>
    <row r="26" spans="1:8" ht="33">
      <c r="A26" s="41" t="s">
        <v>70</v>
      </c>
      <c r="B26" s="19" t="s">
        <v>18</v>
      </c>
      <c r="C26" s="19" t="s">
        <v>10</v>
      </c>
      <c r="D26" s="19"/>
      <c r="E26" s="19"/>
      <c r="F26" s="42" t="e">
        <f>#REF!+#REF!</f>
        <v>#REF!</v>
      </c>
      <c r="G26" s="42" t="e">
        <f>#REF!+#REF!</f>
        <v>#REF!</v>
      </c>
      <c r="H26" s="42" t="e">
        <f>#REF!+#REF!</f>
        <v>#REF!</v>
      </c>
    </row>
    <row r="27" spans="1:8" ht="16.5">
      <c r="A27" s="41" t="s">
        <v>77</v>
      </c>
      <c r="B27" s="18" t="s">
        <v>18</v>
      </c>
      <c r="C27" s="18" t="s">
        <v>16</v>
      </c>
      <c r="D27" s="18"/>
      <c r="E27" s="18"/>
      <c r="F27" s="42">
        <v>0</v>
      </c>
      <c r="G27" s="42">
        <v>0</v>
      </c>
      <c r="H27" s="42">
        <v>0</v>
      </c>
    </row>
    <row r="28" spans="1:8" s="7" customFormat="1" ht="16.5">
      <c r="A28" s="56" t="s">
        <v>47</v>
      </c>
      <c r="B28" s="21" t="s">
        <v>12</v>
      </c>
      <c r="C28" s="21"/>
      <c r="D28" s="21"/>
      <c r="E28" s="21"/>
      <c r="F28" s="51" t="e">
        <f>F29+F30+F31+F32+F33+F34</f>
        <v>#REF!</v>
      </c>
      <c r="G28" s="51" t="e">
        <f>G29+G30+G31+G32+G33+G34</f>
        <v>#REF!</v>
      </c>
      <c r="H28" s="51" t="e">
        <f>H29+H30+H31+H32+H33+H34</f>
        <v>#REF!</v>
      </c>
    </row>
    <row r="29" spans="1:8" ht="16.5">
      <c r="A29" s="41" t="s">
        <v>52</v>
      </c>
      <c r="B29" s="19" t="s">
        <v>12</v>
      </c>
      <c r="C29" s="19" t="s">
        <v>9</v>
      </c>
      <c r="D29" s="18"/>
      <c r="E29" s="18"/>
      <c r="F29" s="42" t="e">
        <f>#REF!</f>
        <v>#REF!</v>
      </c>
      <c r="G29" s="42" t="e">
        <f>#REF!</f>
        <v>#REF!</v>
      </c>
      <c r="H29" s="42" t="e">
        <f>#REF!</f>
        <v>#REF!</v>
      </c>
    </row>
    <row r="30" spans="1:8" ht="16.5">
      <c r="A30" s="41" t="s">
        <v>48</v>
      </c>
      <c r="B30" s="19" t="s">
        <v>12</v>
      </c>
      <c r="C30" s="19" t="s">
        <v>13</v>
      </c>
      <c r="D30" s="18"/>
      <c r="E30" s="18"/>
      <c r="F30" s="42" t="e">
        <f>#REF!</f>
        <v>#REF!</v>
      </c>
      <c r="G30" s="42" t="e">
        <f>#REF!</f>
        <v>#REF!</v>
      </c>
      <c r="H30" s="42" t="e">
        <f>#REF!</f>
        <v>#REF!</v>
      </c>
    </row>
    <row r="31" spans="1:8" ht="16.5">
      <c r="A31" s="41" t="s">
        <v>42</v>
      </c>
      <c r="B31" s="18" t="s">
        <v>12</v>
      </c>
      <c r="C31" s="18" t="s">
        <v>11</v>
      </c>
      <c r="D31" s="18"/>
      <c r="E31" s="18"/>
      <c r="F31" s="43" t="e">
        <f>#REF!</f>
        <v>#REF!</v>
      </c>
      <c r="G31" s="43" t="e">
        <f>#REF!</f>
        <v>#REF!</v>
      </c>
      <c r="H31" s="43" t="e">
        <f>#REF!</f>
        <v>#REF!</v>
      </c>
    </row>
    <row r="32" spans="1:8" s="1" customFormat="1" ht="16.5">
      <c r="A32" s="41" t="s">
        <v>65</v>
      </c>
      <c r="B32" s="18" t="s">
        <v>12</v>
      </c>
      <c r="C32" s="18" t="s">
        <v>10</v>
      </c>
      <c r="D32" s="18"/>
      <c r="E32" s="18"/>
      <c r="F32" s="42" t="e">
        <f>#REF!+#REF!</f>
        <v>#REF!</v>
      </c>
      <c r="G32" s="42" t="e">
        <f>#REF!+#REF!</f>
        <v>#REF!</v>
      </c>
      <c r="H32" s="42" t="e">
        <f>#REF!+#REF!</f>
        <v>#REF!</v>
      </c>
    </row>
    <row r="33" spans="1:8" ht="16.5">
      <c r="A33" s="41" t="s">
        <v>105</v>
      </c>
      <c r="B33" s="18" t="s">
        <v>12</v>
      </c>
      <c r="C33" s="18" t="s">
        <v>16</v>
      </c>
      <c r="D33" s="18"/>
      <c r="E33" s="18"/>
      <c r="F33" s="42">
        <v>0</v>
      </c>
      <c r="G33" s="42">
        <v>0</v>
      </c>
      <c r="H33" s="42">
        <v>0</v>
      </c>
    </row>
    <row r="34" spans="1:8" ht="16.5">
      <c r="A34" s="41" t="s">
        <v>20</v>
      </c>
      <c r="B34" s="19" t="s">
        <v>12</v>
      </c>
      <c r="C34" s="19" t="s">
        <v>35</v>
      </c>
      <c r="D34" s="19"/>
      <c r="E34" s="19"/>
      <c r="F34" s="42" t="e">
        <f>#REF!+#REF!+#REF!</f>
        <v>#REF!</v>
      </c>
      <c r="G34" s="42" t="e">
        <f>#REF!+#REF!+#REF!</f>
        <v>#REF!</v>
      </c>
      <c r="H34" s="42" t="e">
        <f>#REF!+#REF!+#REF!</f>
        <v>#REF!</v>
      </c>
    </row>
    <row r="35" spans="1:8" s="7" customFormat="1" ht="16.5">
      <c r="A35" s="55" t="s">
        <v>49</v>
      </c>
      <c r="B35" s="20" t="s">
        <v>13</v>
      </c>
      <c r="C35" s="21"/>
      <c r="D35" s="21"/>
      <c r="E35" s="21"/>
      <c r="F35" s="51" t="e">
        <f>F36+F37+F38</f>
        <v>#REF!</v>
      </c>
      <c r="G35" s="51" t="e">
        <f>G36+G37+G38</f>
        <v>#REF!</v>
      </c>
      <c r="H35" s="51" t="e">
        <f>H36+H37+H38</f>
        <v>#REF!</v>
      </c>
    </row>
    <row r="36" spans="1:8" s="7" customFormat="1" ht="16.5">
      <c r="A36" s="41" t="s">
        <v>50</v>
      </c>
      <c r="B36" s="19" t="s">
        <v>13</v>
      </c>
      <c r="C36" s="18" t="s">
        <v>9</v>
      </c>
      <c r="D36" s="18"/>
      <c r="E36" s="18"/>
      <c r="F36" s="42" t="e">
        <f>#REF!</f>
        <v>#REF!</v>
      </c>
      <c r="G36" s="42" t="e">
        <f>#REF!</f>
        <v>#REF!</v>
      </c>
      <c r="H36" s="42" t="e">
        <f>#REF!</f>
        <v>#REF!</v>
      </c>
    </row>
    <row r="37" spans="1:8" ht="16.5">
      <c r="A37" s="41" t="s">
        <v>51</v>
      </c>
      <c r="B37" s="19" t="s">
        <v>13</v>
      </c>
      <c r="C37" s="19" t="s">
        <v>14</v>
      </c>
      <c r="D37" s="19"/>
      <c r="E37" s="18"/>
      <c r="F37" s="42" t="e">
        <f>#REF!</f>
        <v>#REF!</v>
      </c>
      <c r="G37" s="42" t="e">
        <f>#REF!</f>
        <v>#REF!</v>
      </c>
      <c r="H37" s="42" t="e">
        <f>#REF!</f>
        <v>#REF!</v>
      </c>
    </row>
    <row r="38" spans="1:8" s="1" customFormat="1" ht="16.5">
      <c r="A38" s="41" t="s">
        <v>29</v>
      </c>
      <c r="B38" s="18" t="s">
        <v>13</v>
      </c>
      <c r="C38" s="18" t="s">
        <v>18</v>
      </c>
      <c r="D38" s="18"/>
      <c r="E38" s="18"/>
      <c r="F38" s="43" t="e">
        <f>#REF!</f>
        <v>#REF!</v>
      </c>
      <c r="G38" s="43" t="e">
        <f>#REF!</f>
        <v>#REF!</v>
      </c>
      <c r="H38" s="43" t="e">
        <f>#REF!</f>
        <v>#REF!</v>
      </c>
    </row>
    <row r="39" spans="1:8" s="7" customFormat="1" ht="16.5">
      <c r="A39" s="55" t="s">
        <v>40</v>
      </c>
      <c r="B39" s="20" t="s">
        <v>15</v>
      </c>
      <c r="C39" s="20"/>
      <c r="D39" s="21"/>
      <c r="E39" s="21"/>
      <c r="F39" s="51" t="e">
        <f>F40+F41</f>
        <v>#REF!</v>
      </c>
      <c r="G39" s="51" t="e">
        <f>G40+G41</f>
        <v>#REF!</v>
      </c>
      <c r="H39" s="51" t="e">
        <f>H40+H41</f>
        <v>#REF!</v>
      </c>
    </row>
    <row r="40" spans="1:8" s="7" customFormat="1" ht="16.5">
      <c r="A40" s="41" t="s">
        <v>93</v>
      </c>
      <c r="B40" s="19" t="s">
        <v>15</v>
      </c>
      <c r="C40" s="19" t="s">
        <v>14</v>
      </c>
      <c r="D40" s="18"/>
      <c r="E40" s="18"/>
      <c r="F40" s="42" t="e">
        <f>#REF!</f>
        <v>#REF!</v>
      </c>
      <c r="G40" s="42" t="e">
        <f>#REF!</f>
        <v>#REF!</v>
      </c>
      <c r="H40" s="42" t="e">
        <f>#REF!</f>
        <v>#REF!</v>
      </c>
    </row>
    <row r="41" spans="1:8" ht="16.5">
      <c r="A41" s="41" t="s">
        <v>104</v>
      </c>
      <c r="B41" s="18" t="s">
        <v>15</v>
      </c>
      <c r="C41" s="18" t="s">
        <v>13</v>
      </c>
      <c r="D41" s="19"/>
      <c r="E41" s="19"/>
      <c r="F41" s="42">
        <v>0</v>
      </c>
      <c r="G41" s="42">
        <v>0</v>
      </c>
      <c r="H41" s="42">
        <v>0</v>
      </c>
    </row>
    <row r="42" spans="1:8" s="7" customFormat="1" ht="16.5">
      <c r="A42" s="55" t="s">
        <v>28</v>
      </c>
      <c r="B42" s="20" t="s">
        <v>8</v>
      </c>
      <c r="C42" s="21"/>
      <c r="D42" s="21"/>
      <c r="E42" s="21"/>
      <c r="F42" s="51" t="e">
        <f>F43+F44+F45+F46+F47</f>
        <v>#REF!</v>
      </c>
      <c r="G42" s="51" t="e">
        <f>G43+G44+G45+G46+G47</f>
        <v>#REF!</v>
      </c>
      <c r="H42" s="51" t="e">
        <f>H43+H44+H45+H46+H47</f>
        <v>#REF!</v>
      </c>
    </row>
    <row r="43" spans="1:8" ht="16.5">
      <c r="A43" s="41" t="s">
        <v>6</v>
      </c>
      <c r="B43" s="19" t="s">
        <v>8</v>
      </c>
      <c r="C43" s="18" t="s">
        <v>9</v>
      </c>
      <c r="D43" s="18"/>
      <c r="E43" s="18"/>
      <c r="F43" s="42" t="e">
        <f>#REF!+#REF!</f>
        <v>#REF!</v>
      </c>
      <c r="G43" s="42" t="e">
        <f>#REF!+#REF!</f>
        <v>#REF!</v>
      </c>
      <c r="H43" s="42" t="e">
        <f>#REF!+#REF!</f>
        <v>#REF!</v>
      </c>
    </row>
    <row r="44" spans="1:8" ht="16.5">
      <c r="A44" s="41" t="s">
        <v>2</v>
      </c>
      <c r="B44" s="19" t="s">
        <v>8</v>
      </c>
      <c r="C44" s="19" t="s">
        <v>14</v>
      </c>
      <c r="D44" s="18"/>
      <c r="E44" s="18"/>
      <c r="F44" s="42" t="e">
        <f>#REF!+#REF!+#REF!</f>
        <v>#REF!</v>
      </c>
      <c r="G44" s="42" t="e">
        <f>#REF!+#REF!+#REF!</f>
        <v>#REF!</v>
      </c>
      <c r="H44" s="42" t="e">
        <f>#REF!+#REF!+#REF!</f>
        <v>#REF!</v>
      </c>
    </row>
    <row r="45" spans="1:8" ht="18" customHeight="1">
      <c r="A45" s="38" t="s">
        <v>118</v>
      </c>
      <c r="B45" s="19" t="s">
        <v>8</v>
      </c>
      <c r="C45" s="19" t="s">
        <v>13</v>
      </c>
      <c r="D45" s="16" t="s">
        <v>13</v>
      </c>
      <c r="E45" s="18"/>
      <c r="F45" s="42" t="e">
        <f>#REF!+#REF!+#REF!+#REF!+#REF!+#REF!+#REF!+#REF!</f>
        <v>#REF!</v>
      </c>
      <c r="G45" s="42" t="e">
        <f>#REF!+#REF!+#REF!+#REF!+#REF!+#REF!+#REF!+#REF!</f>
        <v>#REF!</v>
      </c>
      <c r="H45" s="42" t="e">
        <f>#REF!+#REF!+#REF!+#REF!+#REF!+#REF!+#REF!+#REF!</f>
        <v>#REF!</v>
      </c>
    </row>
    <row r="46" spans="1:8" ht="16.5">
      <c r="A46" s="41" t="s">
        <v>53</v>
      </c>
      <c r="B46" s="19" t="s">
        <v>8</v>
      </c>
      <c r="C46" s="18" t="s">
        <v>8</v>
      </c>
      <c r="D46" s="18"/>
      <c r="E46" s="18"/>
      <c r="F46" s="42" t="e">
        <f>#REF!+#REF!</f>
        <v>#REF!</v>
      </c>
      <c r="G46" s="42" t="e">
        <f>#REF!+#REF!</f>
        <v>#REF!</v>
      </c>
      <c r="H46" s="42" t="e">
        <f>#REF!+#REF!</f>
        <v>#REF!</v>
      </c>
    </row>
    <row r="47" spans="1:8" ht="16.5">
      <c r="A47" s="41" t="s">
        <v>54</v>
      </c>
      <c r="B47" s="19" t="s">
        <v>8</v>
      </c>
      <c r="C47" s="18" t="s">
        <v>10</v>
      </c>
      <c r="D47" s="19"/>
      <c r="E47" s="19"/>
      <c r="F47" s="42" t="e">
        <f>#REF!+#REF!</f>
        <v>#REF!</v>
      </c>
      <c r="G47" s="42" t="e">
        <f>#REF!+#REF!</f>
        <v>#REF!</v>
      </c>
      <c r="H47" s="42" t="e">
        <f>#REF!+#REF!</f>
        <v>#REF!</v>
      </c>
    </row>
    <row r="48" spans="1:8" s="1" customFormat="1" ht="16.5">
      <c r="A48" s="55" t="s">
        <v>116</v>
      </c>
      <c r="B48" s="20" t="s">
        <v>11</v>
      </c>
      <c r="C48" s="21"/>
      <c r="D48" s="20"/>
      <c r="E48" s="21"/>
      <c r="F48" s="51" t="e">
        <f>F49+F50</f>
        <v>#REF!</v>
      </c>
      <c r="G48" s="51" t="e">
        <f>G49+G50</f>
        <v>#REF!</v>
      </c>
      <c r="H48" s="51" t="e">
        <f>H49+H50</f>
        <v>#REF!</v>
      </c>
    </row>
    <row r="49" spans="1:8" ht="16.5">
      <c r="A49" s="41" t="s">
        <v>3</v>
      </c>
      <c r="B49" s="19" t="s">
        <v>11</v>
      </c>
      <c r="C49" s="19" t="s">
        <v>9</v>
      </c>
      <c r="D49" s="18"/>
      <c r="E49" s="18"/>
      <c r="F49" s="42" t="e">
        <f>#REF!+#REF!+#REF!</f>
        <v>#REF!</v>
      </c>
      <c r="G49" s="42" t="e">
        <f>#REF!+#REF!+#REF!</f>
        <v>#REF!</v>
      </c>
      <c r="H49" s="42" t="e">
        <f>#REF!+#REF!+#REF!</f>
        <v>#REF!</v>
      </c>
    </row>
    <row r="50" spans="1:8" ht="16.5">
      <c r="A50" s="41" t="s">
        <v>68</v>
      </c>
      <c r="B50" s="19" t="s">
        <v>11</v>
      </c>
      <c r="C50" s="19" t="s">
        <v>12</v>
      </c>
      <c r="D50" s="18"/>
      <c r="E50" s="18"/>
      <c r="F50" s="42" t="e">
        <f>#REF!</f>
        <v>#REF!</v>
      </c>
      <c r="G50" s="42" t="e">
        <f>#REF!</f>
        <v>#REF!</v>
      </c>
      <c r="H50" s="42" t="e">
        <f>#REF!</f>
        <v>#REF!</v>
      </c>
    </row>
    <row r="51" spans="1:8" s="1" customFormat="1" ht="16.5">
      <c r="A51" s="55" t="s">
        <v>71</v>
      </c>
      <c r="B51" s="20" t="s">
        <v>10</v>
      </c>
      <c r="C51" s="21"/>
      <c r="D51" s="21"/>
      <c r="E51" s="21"/>
      <c r="F51" s="51" t="e">
        <f>F52+F53</f>
        <v>#REF!</v>
      </c>
      <c r="G51" s="51" t="e">
        <f>G52+G53</f>
        <v>#REF!</v>
      </c>
      <c r="H51" s="51" t="e">
        <f>H52+H53</f>
        <v>#REF!</v>
      </c>
    </row>
    <row r="52" spans="1:8" ht="16.5" hidden="1">
      <c r="A52" s="15" t="s">
        <v>59</v>
      </c>
      <c r="B52" s="19" t="s">
        <v>10</v>
      </c>
      <c r="C52" s="18" t="s">
        <v>14</v>
      </c>
      <c r="D52" s="18"/>
      <c r="E52" s="18"/>
      <c r="F52" s="42">
        <v>0</v>
      </c>
      <c r="G52" s="42">
        <v>0</v>
      </c>
      <c r="H52" s="42">
        <v>0</v>
      </c>
    </row>
    <row r="53" spans="1:8" ht="16.5">
      <c r="A53" s="41" t="s">
        <v>72</v>
      </c>
      <c r="B53" s="19" t="s">
        <v>10</v>
      </c>
      <c r="C53" s="19" t="s">
        <v>10</v>
      </c>
      <c r="D53" s="18"/>
      <c r="E53" s="18"/>
      <c r="F53" s="42" t="e">
        <f>#REF!</f>
        <v>#REF!</v>
      </c>
      <c r="G53" s="42" t="e">
        <f>#REF!</f>
        <v>#REF!</v>
      </c>
      <c r="H53" s="42" t="e">
        <f>#REF!</f>
        <v>#REF!</v>
      </c>
    </row>
    <row r="54" spans="1:8" s="7" customFormat="1" ht="16.5">
      <c r="A54" s="55" t="s">
        <v>1</v>
      </c>
      <c r="B54" s="20">
        <v>10</v>
      </c>
      <c r="C54" s="21"/>
      <c r="D54" s="21"/>
      <c r="E54" s="21"/>
      <c r="F54" s="51" t="e">
        <f>F55+F56+F57+F58</f>
        <v>#REF!</v>
      </c>
      <c r="G54" s="51" t="e">
        <f>G55+G56+G57+G58</f>
        <v>#REF!</v>
      </c>
      <c r="H54" s="51" t="e">
        <f>H55+H56+H57+H58</f>
        <v>#REF!</v>
      </c>
    </row>
    <row r="55" spans="1:8" s="7" customFormat="1" ht="16.5">
      <c r="A55" s="40" t="s">
        <v>44</v>
      </c>
      <c r="B55" s="19" t="s">
        <v>16</v>
      </c>
      <c r="C55" s="18" t="s">
        <v>9</v>
      </c>
      <c r="D55" s="18"/>
      <c r="E55" s="18"/>
      <c r="F55" s="42" t="e">
        <f>#REF!</f>
        <v>#REF!</v>
      </c>
      <c r="G55" s="42" t="e">
        <f>#REF!</f>
        <v>#REF!</v>
      </c>
      <c r="H55" s="42" t="e">
        <f>#REF!</f>
        <v>#REF!</v>
      </c>
    </row>
    <row r="56" spans="1:8" ht="16.5">
      <c r="A56" s="41" t="s">
        <v>63</v>
      </c>
      <c r="B56" s="18">
        <v>10</v>
      </c>
      <c r="C56" s="18" t="s">
        <v>18</v>
      </c>
      <c r="D56" s="18"/>
      <c r="E56" s="18"/>
      <c r="F56" s="42" t="e">
        <f>#REF!+#REF!+#REF!</f>
        <v>#REF!</v>
      </c>
      <c r="G56" s="42" t="e">
        <f>#REF!+#REF!+#REF!</f>
        <v>#REF!</v>
      </c>
      <c r="H56" s="42" t="e">
        <f>#REF!+#REF!+#REF!</f>
        <v>#REF!</v>
      </c>
    </row>
    <row r="57" spans="1:8" ht="16.5">
      <c r="A57" s="41" t="s">
        <v>41</v>
      </c>
      <c r="B57" s="18">
        <v>10</v>
      </c>
      <c r="C57" s="18" t="s">
        <v>12</v>
      </c>
      <c r="D57" s="18"/>
      <c r="E57" s="18"/>
      <c r="F57" s="42" t="e">
        <f>#REF!+#REF!</f>
        <v>#REF!</v>
      </c>
      <c r="G57" s="42" t="e">
        <f>#REF!+#REF!</f>
        <v>#REF!</v>
      </c>
      <c r="H57" s="42" t="e">
        <f>#REF!+#REF!</f>
        <v>#REF!</v>
      </c>
    </row>
    <row r="58" spans="1:8" ht="16.5">
      <c r="A58" s="41" t="s">
        <v>5</v>
      </c>
      <c r="B58" s="18">
        <v>10</v>
      </c>
      <c r="C58" s="18" t="s">
        <v>15</v>
      </c>
      <c r="D58" s="18"/>
      <c r="E58" s="18"/>
      <c r="F58" s="42" t="e">
        <f>#REF!</f>
        <v>#REF!</v>
      </c>
      <c r="G58" s="42" t="e">
        <f>#REF!</f>
        <v>#REF!</v>
      </c>
      <c r="H58" s="42" t="e">
        <f>#REF!</f>
        <v>#REF!</v>
      </c>
    </row>
    <row r="59" spans="1:8" s="1" customFormat="1" ht="16.5">
      <c r="A59" s="55" t="s">
        <v>64</v>
      </c>
      <c r="B59" s="21">
        <v>11</v>
      </c>
      <c r="C59" s="21"/>
      <c r="D59" s="21"/>
      <c r="E59" s="21"/>
      <c r="F59" s="51" t="e">
        <f>F60</f>
        <v>#REF!</v>
      </c>
      <c r="G59" s="51" t="e">
        <f>G60</f>
        <v>#REF!</v>
      </c>
      <c r="H59" s="51" t="e">
        <f>H60</f>
        <v>#REF!</v>
      </c>
    </row>
    <row r="60" spans="1:8" ht="16.5">
      <c r="A60" s="41" t="s">
        <v>73</v>
      </c>
      <c r="B60" s="18">
        <v>11</v>
      </c>
      <c r="C60" s="18" t="s">
        <v>9</v>
      </c>
      <c r="D60" s="18"/>
      <c r="E60" s="18"/>
      <c r="F60" s="42" t="e">
        <f>#REF!+#REF!</f>
        <v>#REF!</v>
      </c>
      <c r="G60" s="42" t="e">
        <f>#REF!+#REF!</f>
        <v>#REF!</v>
      </c>
      <c r="H60" s="42" t="e">
        <f>#REF!+#REF!</f>
        <v>#REF!</v>
      </c>
    </row>
    <row r="61" spans="1:8" s="1" customFormat="1" ht="16.5">
      <c r="A61" s="57" t="s">
        <v>67</v>
      </c>
      <c r="B61" s="21" t="s">
        <v>35</v>
      </c>
      <c r="C61" s="21"/>
      <c r="D61" s="21"/>
      <c r="E61" s="21"/>
      <c r="F61" s="52" t="e">
        <f>F62</f>
        <v>#REF!</v>
      </c>
      <c r="G61" s="52" t="e">
        <f>G62</f>
        <v>#REF!</v>
      </c>
      <c r="H61" s="52" t="e">
        <f>H62</f>
        <v>#REF!</v>
      </c>
    </row>
    <row r="62" spans="1:8" ht="16.5">
      <c r="A62" s="46" t="s">
        <v>62</v>
      </c>
      <c r="B62" s="18" t="s">
        <v>35</v>
      </c>
      <c r="C62" s="18" t="s">
        <v>14</v>
      </c>
      <c r="D62" s="18"/>
      <c r="E62" s="18"/>
      <c r="F62" s="43" t="e">
        <f>#REF!</f>
        <v>#REF!</v>
      </c>
      <c r="G62" s="43" t="e">
        <f>#REF!</f>
        <v>#REF!</v>
      </c>
      <c r="H62" s="43" t="e">
        <f>#REF!</f>
        <v>#REF!</v>
      </c>
    </row>
    <row r="63" spans="1:8" s="1" customFormat="1" ht="16.5">
      <c r="A63" s="57" t="s">
        <v>80</v>
      </c>
      <c r="B63" s="21" t="s">
        <v>19</v>
      </c>
      <c r="C63" s="21"/>
      <c r="D63" s="21"/>
      <c r="E63" s="21"/>
      <c r="F63" s="52" t="e">
        <f>F64</f>
        <v>#REF!</v>
      </c>
      <c r="G63" s="52" t="e">
        <f>G64</f>
        <v>#REF!</v>
      </c>
      <c r="H63" s="52" t="e">
        <f>H64</f>
        <v>#REF!</v>
      </c>
    </row>
    <row r="64" spans="1:8" ht="16.5">
      <c r="A64" s="40" t="s">
        <v>81</v>
      </c>
      <c r="B64" s="18" t="s">
        <v>19</v>
      </c>
      <c r="C64" s="18" t="s">
        <v>9</v>
      </c>
      <c r="D64" s="19"/>
      <c r="E64" s="19"/>
      <c r="F64" s="42" t="e">
        <f>#REF!</f>
        <v>#REF!</v>
      </c>
      <c r="G64" s="42" t="e">
        <f>#REF!</f>
        <v>#REF!</v>
      </c>
      <c r="H64" s="42" t="e">
        <f>#REF!</f>
        <v>#REF!</v>
      </c>
    </row>
    <row r="65" spans="1:8" s="7" customFormat="1" ht="33">
      <c r="A65" s="55" t="s">
        <v>114</v>
      </c>
      <c r="B65" s="21" t="s">
        <v>58</v>
      </c>
      <c r="C65" s="21"/>
      <c r="D65" s="21"/>
      <c r="E65" s="21"/>
      <c r="F65" s="51" t="e">
        <f>F66+F67</f>
        <v>#REF!</v>
      </c>
      <c r="G65" s="51" t="e">
        <f>G66+G67</f>
        <v>#REF!</v>
      </c>
      <c r="H65" s="51" t="e">
        <f>H66+H67</f>
        <v>#REF!</v>
      </c>
    </row>
    <row r="66" spans="1:8" ht="33">
      <c r="A66" s="41" t="s">
        <v>112</v>
      </c>
      <c r="B66" s="18" t="s">
        <v>58</v>
      </c>
      <c r="C66" s="18" t="s">
        <v>9</v>
      </c>
      <c r="D66" s="18"/>
      <c r="E66" s="18"/>
      <c r="F66" s="42" t="e">
        <f>#REF!</f>
        <v>#REF!</v>
      </c>
      <c r="G66" s="42" t="e">
        <f>#REF!</f>
        <v>#REF!</v>
      </c>
      <c r="H66" s="42" t="e">
        <f>#REF!</f>
        <v>#REF!</v>
      </c>
    </row>
    <row r="67" spans="1:8" ht="16.5">
      <c r="A67" s="47" t="s">
        <v>113</v>
      </c>
      <c r="B67" s="18" t="s">
        <v>58</v>
      </c>
      <c r="C67" s="18" t="s">
        <v>18</v>
      </c>
      <c r="D67" s="18"/>
      <c r="E67" s="18"/>
      <c r="F67" s="42" t="e">
        <f>#REF!</f>
        <v>#REF!</v>
      </c>
      <c r="G67" s="42" t="e">
        <f>#REF!</f>
        <v>#REF!</v>
      </c>
      <c r="H67" s="42" t="e">
        <f>#REF!</f>
        <v>#REF!</v>
      </c>
    </row>
    <row r="68" spans="1:8" s="1" customFormat="1" ht="16.5">
      <c r="A68" s="48" t="s">
        <v>7</v>
      </c>
      <c r="B68" s="45"/>
      <c r="C68" s="45"/>
      <c r="D68" s="45"/>
      <c r="E68" s="45"/>
      <c r="F68" s="49" t="e">
        <f>F14+F22+F24+F28+F35+F39+F42+F48+F51+F54+F59+F61+F63+F65</f>
        <v>#REF!</v>
      </c>
      <c r="G68" s="49" t="e">
        <f>G14+G22+G24+G28+G35+G39+G42+G48+G51+G54+G59+G61+G63+G65</f>
        <v>#REF!</v>
      </c>
      <c r="H68" s="49" t="e">
        <f>H14+H22+H24+H28+H35+H39+H42+H48+H51+H54+H59+H61+H63+H65</f>
        <v>#REF!</v>
      </c>
    </row>
    <row r="70" spans="6:8" ht="12.75">
      <c r="F70" s="11" t="e">
        <f>#REF!</f>
        <v>#REF!</v>
      </c>
      <c r="G70" s="11" t="e">
        <f>#REF!</f>
        <v>#REF!</v>
      </c>
      <c r="H70" s="11" t="e">
        <f>#REF!</f>
        <v>#REF!</v>
      </c>
    </row>
    <row r="71" spans="6:8" ht="12.75">
      <c r="F71" s="11" t="e">
        <f>F68-F70</f>
        <v>#REF!</v>
      </c>
      <c r="G71" s="11" t="e">
        <f>G68-G70</f>
        <v>#REF!</v>
      </c>
      <c r="H71" s="11" t="e">
        <f>H68-H70</f>
        <v>#REF!</v>
      </c>
    </row>
    <row r="74" spans="2:8" ht="18">
      <c r="B74"/>
      <c r="C74"/>
      <c r="D74"/>
      <c r="E74"/>
      <c r="F74" s="12"/>
      <c r="G74" s="12"/>
      <c r="H74" s="1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1" t="e">
        <f>#REF!</f>
        <v>#REF!</v>
      </c>
      <c r="G78" s="11" t="e">
        <f>#REF!</f>
        <v>#REF!</v>
      </c>
      <c r="H78" s="11" t="e">
        <f>#REF!</f>
        <v>#REF!</v>
      </c>
    </row>
    <row r="82" ht="12.75">
      <c r="F82" s="11" t="e">
        <f>F42+F48+F51+F54+F59</f>
        <v>#REF!</v>
      </c>
    </row>
    <row r="119" spans="1:8" ht="16.5">
      <c r="A119" s="37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75390625" style="0" customWidth="1"/>
    <col min="2" max="2" width="11.625" style="5" customWidth="1"/>
    <col min="3" max="3" width="9.625" style="5" customWidth="1"/>
    <col min="4" max="4" width="10.875" style="5" hidden="1" customWidth="1"/>
    <col min="5" max="5" width="5.375" style="5" hidden="1" customWidth="1"/>
    <col min="6" max="6" width="27.25390625" style="11" hidden="1" customWidth="1"/>
    <col min="7" max="8" width="27.25390625" style="11" bestFit="1" customWidth="1"/>
  </cols>
  <sheetData>
    <row r="1" spans="2:8" ht="18.75">
      <c r="B1" s="6" t="s">
        <v>190</v>
      </c>
      <c r="C1" s="36"/>
      <c r="D1" s="36"/>
      <c r="E1" s="36"/>
      <c r="F1" s="36"/>
      <c r="G1" s="36"/>
      <c r="H1" s="36"/>
    </row>
    <row r="2" spans="2:8" ht="18.75">
      <c r="B2" s="6" t="s">
        <v>119</v>
      </c>
      <c r="C2" s="36"/>
      <c r="D2" s="36"/>
      <c r="E2" s="36"/>
      <c r="F2" s="36"/>
      <c r="G2" s="36"/>
      <c r="H2" s="36"/>
    </row>
    <row r="3" spans="2:8" ht="18.75">
      <c r="B3" s="6" t="s">
        <v>109</v>
      </c>
      <c r="C3" s="36"/>
      <c r="D3" s="36"/>
      <c r="E3" s="36"/>
      <c r="F3" s="36"/>
      <c r="G3" s="36"/>
      <c r="H3" s="36"/>
    </row>
    <row r="4" spans="2:8" ht="18.75">
      <c r="B4" s="6" t="s">
        <v>120</v>
      </c>
      <c r="C4" s="36"/>
      <c r="D4" s="36"/>
      <c r="E4" s="36"/>
      <c r="F4" s="36"/>
      <c r="G4" s="36"/>
      <c r="H4" s="36"/>
    </row>
    <row r="5" spans="2:8" ht="18.75" customHeight="1">
      <c r="B5" s="6" t="s">
        <v>123</v>
      </c>
      <c r="C5" s="36"/>
      <c r="D5" s="36"/>
      <c r="E5" s="36"/>
      <c r="F5" s="36"/>
      <c r="G5" s="36"/>
      <c r="H5" s="36"/>
    </row>
    <row r="6" spans="2:8" ht="18.75">
      <c r="B6" s="6" t="s">
        <v>121</v>
      </c>
      <c r="C6" s="36"/>
      <c r="D6" s="36"/>
      <c r="E6" s="36"/>
      <c r="F6" s="36"/>
      <c r="G6" s="36"/>
      <c r="H6" s="36"/>
    </row>
    <row r="7" spans="2:8" ht="18.75">
      <c r="B7" s="6" t="s">
        <v>122</v>
      </c>
      <c r="C7" s="36"/>
      <c r="D7" s="36"/>
      <c r="E7" s="36"/>
      <c r="F7" s="36"/>
      <c r="G7" s="36"/>
      <c r="H7" s="36"/>
    </row>
    <row r="8" spans="1:8" ht="18.75">
      <c r="A8" s="3"/>
      <c r="B8" s="9"/>
      <c r="C8" s="6"/>
      <c r="D8" s="6"/>
      <c r="E8" s="6"/>
      <c r="F8" s="6"/>
      <c r="G8" s="6"/>
      <c r="H8" s="6"/>
    </row>
    <row r="9" spans="1:8" ht="16.5">
      <c r="A9" s="265" t="s">
        <v>61</v>
      </c>
      <c r="B9" s="265"/>
      <c r="C9" s="265"/>
      <c r="D9" s="265"/>
      <c r="E9" s="265"/>
      <c r="F9" s="265"/>
      <c r="G9" s="265"/>
      <c r="H9" s="265"/>
    </row>
    <row r="10" spans="1:8" ht="16.5">
      <c r="A10" s="265" t="s">
        <v>117</v>
      </c>
      <c r="B10" s="265"/>
      <c r="C10" s="265"/>
      <c r="D10" s="265"/>
      <c r="E10" s="265"/>
      <c r="F10" s="265"/>
      <c r="G10" s="265"/>
      <c r="H10" s="265"/>
    </row>
    <row r="11" spans="1:8" ht="16.5">
      <c r="A11" s="266" t="s">
        <v>186</v>
      </c>
      <c r="B11" s="266"/>
      <c r="C11" s="266"/>
      <c r="D11" s="266"/>
      <c r="E11" s="266"/>
      <c r="F11" s="266"/>
      <c r="G11" s="266"/>
      <c r="H11" s="266"/>
    </row>
    <row r="12" spans="1:8" ht="18">
      <c r="A12" s="2"/>
      <c r="B12" s="4"/>
      <c r="C12" s="4"/>
      <c r="D12" s="4"/>
      <c r="E12" s="4"/>
      <c r="F12" s="10" t="s">
        <v>0</v>
      </c>
      <c r="G12" s="10"/>
      <c r="H12" s="10" t="s">
        <v>0</v>
      </c>
    </row>
    <row r="13" spans="1:8" ht="51.75" customHeight="1">
      <c r="A13" s="44" t="s">
        <v>23</v>
      </c>
      <c r="B13" s="45" t="s">
        <v>24</v>
      </c>
      <c r="C13" s="45" t="s">
        <v>25</v>
      </c>
      <c r="D13" s="45" t="s">
        <v>26</v>
      </c>
      <c r="E13" s="45" t="s">
        <v>27</v>
      </c>
      <c r="F13" s="50" t="s">
        <v>125</v>
      </c>
      <c r="G13" s="50" t="s">
        <v>184</v>
      </c>
      <c r="H13" s="50" t="s">
        <v>185</v>
      </c>
    </row>
    <row r="14" spans="1:8" s="1" customFormat="1" ht="22.5" customHeight="1">
      <c r="A14" s="54" t="s">
        <v>45</v>
      </c>
      <c r="B14" s="24" t="s">
        <v>9</v>
      </c>
      <c r="C14" s="22"/>
      <c r="D14" s="22"/>
      <c r="E14" s="22"/>
      <c r="F14" s="53" t="e">
        <f>F15+F16+F17+F18+F19+F20+F21</f>
        <v>#REF!</v>
      </c>
      <c r="G14" s="53" t="e">
        <f>G15+G16+G17+G18+G19+G20+G21</f>
        <v>#REF!</v>
      </c>
      <c r="H14" s="53" t="e">
        <f>H15+H16+H17+H18+H19+H20+H21</f>
        <v>#REF!</v>
      </c>
    </row>
    <row r="15" spans="1:8" ht="33">
      <c r="A15" s="41" t="s">
        <v>31</v>
      </c>
      <c r="B15" s="19" t="s">
        <v>9</v>
      </c>
      <c r="C15" s="18" t="s">
        <v>14</v>
      </c>
      <c r="D15" s="18"/>
      <c r="E15" s="18"/>
      <c r="F15" s="42" t="e">
        <f>#REF!</f>
        <v>#REF!</v>
      </c>
      <c r="G15" s="42" t="e">
        <f>#REF!</f>
        <v>#REF!</v>
      </c>
      <c r="H15" s="42" t="e">
        <f>#REF!</f>
        <v>#REF!</v>
      </c>
    </row>
    <row r="16" spans="1:8" ht="33">
      <c r="A16" s="41" t="s">
        <v>111</v>
      </c>
      <c r="B16" s="19" t="s">
        <v>9</v>
      </c>
      <c r="C16" s="18" t="s">
        <v>18</v>
      </c>
      <c r="D16" s="18"/>
      <c r="E16" s="18"/>
      <c r="F16" s="42" t="e">
        <f>#REF!</f>
        <v>#REF!</v>
      </c>
      <c r="G16" s="42" t="e">
        <f>#REF!</f>
        <v>#REF!</v>
      </c>
      <c r="H16" s="42" t="e">
        <f>#REF!</f>
        <v>#REF!</v>
      </c>
    </row>
    <row r="17" spans="1:8" ht="49.5">
      <c r="A17" s="41" t="s">
        <v>69</v>
      </c>
      <c r="B17" s="19" t="s">
        <v>9</v>
      </c>
      <c r="C17" s="19" t="s">
        <v>12</v>
      </c>
      <c r="D17" s="19"/>
      <c r="E17" s="19"/>
      <c r="F17" s="42" t="e">
        <f>#REF!+#REF!+#REF!</f>
        <v>#REF!</v>
      </c>
      <c r="G17" s="42" t="e">
        <f>#REF!+#REF!+#REF!</f>
        <v>#REF!</v>
      </c>
      <c r="H17" s="42" t="e">
        <f>#REF!+#REF!+#REF!</f>
        <v>#REF!</v>
      </c>
    </row>
    <row r="18" spans="1:8" ht="33">
      <c r="A18" s="41" t="s">
        <v>56</v>
      </c>
      <c r="B18" s="19" t="s">
        <v>9</v>
      </c>
      <c r="C18" s="19" t="s">
        <v>15</v>
      </c>
      <c r="D18" s="18"/>
      <c r="E18" s="18"/>
      <c r="F18" s="42" t="e">
        <f>#REF!+#REF!</f>
        <v>#REF!</v>
      </c>
      <c r="G18" s="42" t="e">
        <f>#REF!+#REF!</f>
        <v>#REF!</v>
      </c>
      <c r="H18" s="42" t="e">
        <f>#REF!+#REF!</f>
        <v>#REF!</v>
      </c>
    </row>
    <row r="19" spans="1:8" ht="16.5">
      <c r="A19" s="41" t="s">
        <v>38</v>
      </c>
      <c r="B19" s="19" t="s">
        <v>9</v>
      </c>
      <c r="C19" s="19" t="s">
        <v>8</v>
      </c>
      <c r="D19" s="18"/>
      <c r="E19" s="18"/>
      <c r="F19" s="42">
        <v>0</v>
      </c>
      <c r="G19" s="42">
        <v>0</v>
      </c>
      <c r="H19" s="42">
        <v>0</v>
      </c>
    </row>
    <row r="20" spans="1:8" ht="16.5">
      <c r="A20" s="40" t="s">
        <v>106</v>
      </c>
      <c r="B20" s="17" t="s">
        <v>9</v>
      </c>
      <c r="C20" s="17" t="s">
        <v>17</v>
      </c>
      <c r="D20" s="17"/>
      <c r="E20" s="17"/>
      <c r="F20" s="43" t="e">
        <f>#REF!</f>
        <v>#REF!</v>
      </c>
      <c r="G20" s="43" t="e">
        <f>#REF!</f>
        <v>#REF!</v>
      </c>
      <c r="H20" s="43" t="e">
        <f>#REF!</f>
        <v>#REF!</v>
      </c>
    </row>
    <row r="21" spans="1:8" ht="16.5">
      <c r="A21" s="41" t="s">
        <v>46</v>
      </c>
      <c r="B21" s="19" t="s">
        <v>9</v>
      </c>
      <c r="C21" s="19" t="s">
        <v>19</v>
      </c>
      <c r="D21" s="18"/>
      <c r="E21" s="18"/>
      <c r="F21" s="42" t="e">
        <f>#REF!+#REF!+#REF!+#REF!</f>
        <v>#REF!</v>
      </c>
      <c r="G21" s="42" t="e">
        <f>#REF!+#REF!+#REF!+#REF!</f>
        <v>#REF!</v>
      </c>
      <c r="H21" s="42" t="e">
        <f>#REF!+#REF!+#REF!+#REF!</f>
        <v>#REF!</v>
      </c>
    </row>
    <row r="22" spans="1:8" s="1" customFormat="1" ht="16.5">
      <c r="A22" s="55" t="s">
        <v>74</v>
      </c>
      <c r="B22" s="20" t="s">
        <v>14</v>
      </c>
      <c r="C22" s="21"/>
      <c r="D22" s="21"/>
      <c r="E22" s="21"/>
      <c r="F22" s="51" t="e">
        <f>F23</f>
        <v>#REF!</v>
      </c>
      <c r="G22" s="51" t="e">
        <f>G23</f>
        <v>#REF!</v>
      </c>
      <c r="H22" s="51" t="e">
        <f>H23</f>
        <v>#REF!</v>
      </c>
    </row>
    <row r="23" spans="1:8" s="1" customFormat="1" ht="16.5">
      <c r="A23" s="41" t="s">
        <v>75</v>
      </c>
      <c r="B23" s="19" t="s">
        <v>14</v>
      </c>
      <c r="C23" s="18" t="s">
        <v>18</v>
      </c>
      <c r="D23" s="18"/>
      <c r="E23" s="18"/>
      <c r="F23" s="43" t="e">
        <f>#REF!</f>
        <v>#REF!</v>
      </c>
      <c r="G23" s="43" t="e">
        <f>#REF!</f>
        <v>#REF!</v>
      </c>
      <c r="H23" s="43" t="e">
        <f>#REF!</f>
        <v>#REF!</v>
      </c>
    </row>
    <row r="24" spans="1:8" s="7" customFormat="1" ht="16.5">
      <c r="A24" s="55" t="s">
        <v>36</v>
      </c>
      <c r="B24" s="20" t="s">
        <v>18</v>
      </c>
      <c r="C24" s="21"/>
      <c r="D24" s="21"/>
      <c r="E24" s="21"/>
      <c r="F24" s="51" t="e">
        <f>F25+F26+F27</f>
        <v>#REF!</v>
      </c>
      <c r="G24" s="51" t="e">
        <f>G25+G26+G27</f>
        <v>#REF!</v>
      </c>
      <c r="H24" s="51" t="e">
        <f>H25+H26+H27</f>
        <v>#REF!</v>
      </c>
    </row>
    <row r="25" spans="1:8" ht="16.5">
      <c r="A25" s="41" t="s">
        <v>37</v>
      </c>
      <c r="B25" s="19" t="s">
        <v>18</v>
      </c>
      <c r="C25" s="19" t="s">
        <v>14</v>
      </c>
      <c r="D25" s="18"/>
      <c r="E25" s="18"/>
      <c r="F25" s="42" t="e">
        <f>#REF!+#REF!</f>
        <v>#REF!</v>
      </c>
      <c r="G25" s="42" t="e">
        <f>#REF!+#REF!</f>
        <v>#REF!</v>
      </c>
      <c r="H25" s="42" t="e">
        <f>#REF!+#REF!</f>
        <v>#REF!</v>
      </c>
    </row>
    <row r="26" spans="1:8" ht="33">
      <c r="A26" s="41" t="s">
        <v>70</v>
      </c>
      <c r="B26" s="19" t="s">
        <v>18</v>
      </c>
      <c r="C26" s="19" t="s">
        <v>10</v>
      </c>
      <c r="D26" s="19"/>
      <c r="E26" s="19"/>
      <c r="F26" s="42" t="e">
        <f>#REF!+#REF!</f>
        <v>#REF!</v>
      </c>
      <c r="G26" s="42" t="e">
        <f>#REF!+#REF!</f>
        <v>#REF!</v>
      </c>
      <c r="H26" s="42" t="e">
        <f>#REF!+#REF!</f>
        <v>#REF!</v>
      </c>
    </row>
    <row r="27" spans="1:8" ht="16.5">
      <c r="A27" s="41" t="s">
        <v>77</v>
      </c>
      <c r="B27" s="18" t="s">
        <v>18</v>
      </c>
      <c r="C27" s="18" t="s">
        <v>16</v>
      </c>
      <c r="D27" s="18"/>
      <c r="E27" s="18"/>
      <c r="F27" s="42">
        <v>0</v>
      </c>
      <c r="G27" s="42">
        <v>0</v>
      </c>
      <c r="H27" s="42">
        <v>0</v>
      </c>
    </row>
    <row r="28" spans="1:8" s="7" customFormat="1" ht="16.5">
      <c r="A28" s="56" t="s">
        <v>47</v>
      </c>
      <c r="B28" s="21" t="s">
        <v>12</v>
      </c>
      <c r="C28" s="21"/>
      <c r="D28" s="21"/>
      <c r="E28" s="21"/>
      <c r="F28" s="51" t="e">
        <f>F29+F30+F31+F32+F33+F34</f>
        <v>#REF!</v>
      </c>
      <c r="G28" s="51" t="e">
        <f>G29+G30+G31+G32+G33+G34</f>
        <v>#REF!</v>
      </c>
      <c r="H28" s="51" t="e">
        <f>H29+H30+H31+H32+H33+H34</f>
        <v>#REF!</v>
      </c>
    </row>
    <row r="29" spans="1:8" ht="16.5">
      <c r="A29" s="41" t="s">
        <v>52</v>
      </c>
      <c r="B29" s="19" t="s">
        <v>12</v>
      </c>
      <c r="C29" s="19" t="s">
        <v>9</v>
      </c>
      <c r="D29" s="18"/>
      <c r="E29" s="18"/>
      <c r="F29" s="42" t="e">
        <f>#REF!</f>
        <v>#REF!</v>
      </c>
      <c r="G29" s="42" t="e">
        <f>#REF!</f>
        <v>#REF!</v>
      </c>
      <c r="H29" s="42" t="e">
        <f>#REF!</f>
        <v>#REF!</v>
      </c>
    </row>
    <row r="30" spans="1:8" ht="16.5">
      <c r="A30" s="41" t="s">
        <v>48</v>
      </c>
      <c r="B30" s="19" t="s">
        <v>12</v>
      </c>
      <c r="C30" s="19" t="s">
        <v>13</v>
      </c>
      <c r="D30" s="18"/>
      <c r="E30" s="18"/>
      <c r="F30" s="42" t="e">
        <f>#REF!</f>
        <v>#REF!</v>
      </c>
      <c r="G30" s="42" t="e">
        <f>#REF!</f>
        <v>#REF!</v>
      </c>
      <c r="H30" s="42" t="e">
        <f>#REF!</f>
        <v>#REF!</v>
      </c>
    </row>
    <row r="31" spans="1:8" ht="16.5">
      <c r="A31" s="41" t="s">
        <v>42</v>
      </c>
      <c r="B31" s="18" t="s">
        <v>12</v>
      </c>
      <c r="C31" s="18" t="s">
        <v>11</v>
      </c>
      <c r="D31" s="18"/>
      <c r="E31" s="18"/>
      <c r="F31" s="43" t="e">
        <f>#REF!</f>
        <v>#REF!</v>
      </c>
      <c r="G31" s="43" t="e">
        <f>#REF!</f>
        <v>#REF!</v>
      </c>
      <c r="H31" s="43" t="e">
        <f>#REF!</f>
        <v>#REF!</v>
      </c>
    </row>
    <row r="32" spans="1:8" s="1" customFormat="1" ht="16.5">
      <c r="A32" s="41" t="s">
        <v>65</v>
      </c>
      <c r="B32" s="18" t="s">
        <v>12</v>
      </c>
      <c r="C32" s="18" t="s">
        <v>10</v>
      </c>
      <c r="D32" s="18"/>
      <c r="E32" s="18"/>
      <c r="F32" s="42" t="e">
        <f>#REF!+#REF!</f>
        <v>#REF!</v>
      </c>
      <c r="G32" s="42" t="e">
        <f>#REF!+#REF!</f>
        <v>#REF!</v>
      </c>
      <c r="H32" s="42" t="e">
        <f>#REF!+#REF!</f>
        <v>#REF!</v>
      </c>
    </row>
    <row r="33" spans="1:8" ht="16.5">
      <c r="A33" s="41" t="s">
        <v>105</v>
      </c>
      <c r="B33" s="18" t="s">
        <v>12</v>
      </c>
      <c r="C33" s="18" t="s">
        <v>16</v>
      </c>
      <c r="D33" s="18"/>
      <c r="E33" s="18"/>
      <c r="F33" s="42">
        <v>0</v>
      </c>
      <c r="G33" s="42">
        <v>0</v>
      </c>
      <c r="H33" s="42">
        <v>0</v>
      </c>
    </row>
    <row r="34" spans="1:8" ht="16.5">
      <c r="A34" s="41" t="s">
        <v>20</v>
      </c>
      <c r="B34" s="19" t="s">
        <v>12</v>
      </c>
      <c r="C34" s="19" t="s">
        <v>35</v>
      </c>
      <c r="D34" s="19"/>
      <c r="E34" s="19"/>
      <c r="F34" s="42" t="e">
        <f>#REF!+#REF!+#REF!</f>
        <v>#REF!</v>
      </c>
      <c r="G34" s="42" t="e">
        <f>#REF!+#REF!+#REF!</f>
        <v>#REF!</v>
      </c>
      <c r="H34" s="42" t="e">
        <f>#REF!+#REF!+#REF!</f>
        <v>#REF!</v>
      </c>
    </row>
    <row r="35" spans="1:8" s="7" customFormat="1" ht="16.5">
      <c r="A35" s="55" t="s">
        <v>49</v>
      </c>
      <c r="B35" s="20" t="s">
        <v>13</v>
      </c>
      <c r="C35" s="21"/>
      <c r="D35" s="21"/>
      <c r="E35" s="21"/>
      <c r="F35" s="51" t="e">
        <f>F36+F37+F38</f>
        <v>#REF!</v>
      </c>
      <c r="G35" s="51" t="e">
        <f>G36+G37+G38</f>
        <v>#REF!</v>
      </c>
      <c r="H35" s="51" t="e">
        <f>H36+H37+H38</f>
        <v>#REF!</v>
      </c>
    </row>
    <row r="36" spans="1:8" s="7" customFormat="1" ht="16.5">
      <c r="A36" s="41" t="s">
        <v>50</v>
      </c>
      <c r="B36" s="19" t="s">
        <v>13</v>
      </c>
      <c r="C36" s="18" t="s">
        <v>9</v>
      </c>
      <c r="D36" s="18"/>
      <c r="E36" s="18"/>
      <c r="F36" s="42" t="e">
        <f>#REF!</f>
        <v>#REF!</v>
      </c>
      <c r="G36" s="42" t="e">
        <f>#REF!</f>
        <v>#REF!</v>
      </c>
      <c r="H36" s="42" t="e">
        <f>#REF!</f>
        <v>#REF!</v>
      </c>
    </row>
    <row r="37" spans="1:8" ht="16.5">
      <c r="A37" s="41" t="s">
        <v>51</v>
      </c>
      <c r="B37" s="19" t="s">
        <v>13</v>
      </c>
      <c r="C37" s="19" t="s">
        <v>14</v>
      </c>
      <c r="D37" s="19"/>
      <c r="E37" s="18"/>
      <c r="F37" s="42" t="e">
        <f>#REF!</f>
        <v>#REF!</v>
      </c>
      <c r="G37" s="42" t="e">
        <f>#REF!</f>
        <v>#REF!</v>
      </c>
      <c r="H37" s="42" t="e">
        <f>#REF!</f>
        <v>#REF!</v>
      </c>
    </row>
    <row r="38" spans="1:8" s="13" customFormat="1" ht="16.5">
      <c r="A38" s="41" t="s">
        <v>29</v>
      </c>
      <c r="B38" s="18" t="s">
        <v>13</v>
      </c>
      <c r="C38" s="18" t="s">
        <v>18</v>
      </c>
      <c r="D38" s="18"/>
      <c r="E38" s="18"/>
      <c r="F38" s="43" t="e">
        <f>#REF!</f>
        <v>#REF!</v>
      </c>
      <c r="G38" s="43" t="e">
        <f>#REF!</f>
        <v>#REF!</v>
      </c>
      <c r="H38" s="43" t="e">
        <f>#REF!</f>
        <v>#REF!</v>
      </c>
    </row>
    <row r="39" spans="1:8" s="7" customFormat="1" ht="16.5">
      <c r="A39" s="55" t="s">
        <v>40</v>
      </c>
      <c r="B39" s="20" t="s">
        <v>15</v>
      </c>
      <c r="C39" s="20"/>
      <c r="D39" s="21"/>
      <c r="E39" s="21"/>
      <c r="F39" s="51" t="e">
        <f>F40+F41</f>
        <v>#REF!</v>
      </c>
      <c r="G39" s="51" t="e">
        <f>G40+G41</f>
        <v>#REF!</v>
      </c>
      <c r="H39" s="51" t="e">
        <f>H40+H41</f>
        <v>#REF!</v>
      </c>
    </row>
    <row r="40" spans="1:8" s="7" customFormat="1" ht="16.5">
      <c r="A40" s="41" t="s">
        <v>93</v>
      </c>
      <c r="B40" s="19" t="s">
        <v>15</v>
      </c>
      <c r="C40" s="19" t="s">
        <v>14</v>
      </c>
      <c r="D40" s="18"/>
      <c r="E40" s="18"/>
      <c r="F40" s="42" t="e">
        <f>#REF!</f>
        <v>#REF!</v>
      </c>
      <c r="G40" s="42" t="e">
        <f>#REF!</f>
        <v>#REF!</v>
      </c>
      <c r="H40" s="42" t="e">
        <f>#REF!</f>
        <v>#REF!</v>
      </c>
    </row>
    <row r="41" spans="1:8" ht="16.5">
      <c r="A41" s="41" t="s">
        <v>104</v>
      </c>
      <c r="B41" s="18" t="s">
        <v>15</v>
      </c>
      <c r="C41" s="18" t="s">
        <v>13</v>
      </c>
      <c r="D41" s="19"/>
      <c r="E41" s="19"/>
      <c r="F41" s="42">
        <v>0</v>
      </c>
      <c r="G41" s="42">
        <v>0</v>
      </c>
      <c r="H41" s="42">
        <v>0</v>
      </c>
    </row>
    <row r="42" spans="1:8" s="7" customFormat="1" ht="16.5">
      <c r="A42" s="55" t="s">
        <v>28</v>
      </c>
      <c r="B42" s="20" t="s">
        <v>8</v>
      </c>
      <c r="C42" s="21"/>
      <c r="D42" s="21"/>
      <c r="E42" s="21"/>
      <c r="F42" s="51" t="e">
        <f>F43+F44+F45+F46+F47</f>
        <v>#REF!</v>
      </c>
      <c r="G42" s="51" t="e">
        <f>G43+G44+G45+G46+G47</f>
        <v>#REF!</v>
      </c>
      <c r="H42" s="51" t="e">
        <f>H43+H44+H45+H46+H47</f>
        <v>#REF!</v>
      </c>
    </row>
    <row r="43" spans="1:8" ht="16.5">
      <c r="A43" s="41" t="s">
        <v>6</v>
      </c>
      <c r="B43" s="19" t="s">
        <v>8</v>
      </c>
      <c r="C43" s="18" t="s">
        <v>9</v>
      </c>
      <c r="D43" s="18"/>
      <c r="E43" s="18"/>
      <c r="F43" s="42" t="e">
        <f>#REF!+#REF!</f>
        <v>#REF!</v>
      </c>
      <c r="G43" s="42" t="e">
        <f>#REF!+#REF!</f>
        <v>#REF!</v>
      </c>
      <c r="H43" s="42" t="e">
        <f>#REF!+#REF!</f>
        <v>#REF!</v>
      </c>
    </row>
    <row r="44" spans="1:8" ht="16.5">
      <c r="A44" s="41" t="s">
        <v>2</v>
      </c>
      <c r="B44" s="19" t="s">
        <v>8</v>
      </c>
      <c r="C44" s="19" t="s">
        <v>14</v>
      </c>
      <c r="D44" s="18"/>
      <c r="E44" s="18"/>
      <c r="F44" s="42" t="e">
        <f>#REF!+#REF!+#REF!</f>
        <v>#REF!</v>
      </c>
      <c r="G44" s="42" t="e">
        <f>#REF!+#REF!+#REF!</f>
        <v>#REF!</v>
      </c>
      <c r="H44" s="42" t="e">
        <f>#REF!+#REF!+#REF!</f>
        <v>#REF!</v>
      </c>
    </row>
    <row r="45" spans="1:8" ht="18" customHeight="1">
      <c r="A45" s="38" t="s">
        <v>118</v>
      </c>
      <c r="B45" s="19" t="s">
        <v>8</v>
      </c>
      <c r="C45" s="19" t="s">
        <v>13</v>
      </c>
      <c r="D45" s="16" t="s">
        <v>13</v>
      </c>
      <c r="E45" s="18"/>
      <c r="F45" s="42" t="e">
        <f>#REF!+#REF!+#REF!+#REF!+#REF!+#REF!+#REF!+#REF!</f>
        <v>#REF!</v>
      </c>
      <c r="G45" s="42" t="e">
        <f>#REF!+#REF!+#REF!+#REF!+#REF!+#REF!+#REF!+#REF!</f>
        <v>#REF!</v>
      </c>
      <c r="H45" s="42" t="e">
        <f>#REF!+#REF!+#REF!+#REF!+#REF!+#REF!+#REF!+#REF!</f>
        <v>#REF!</v>
      </c>
    </row>
    <row r="46" spans="1:8" ht="16.5">
      <c r="A46" s="41" t="s">
        <v>53</v>
      </c>
      <c r="B46" s="19" t="s">
        <v>8</v>
      </c>
      <c r="C46" s="18" t="s">
        <v>8</v>
      </c>
      <c r="D46" s="18"/>
      <c r="E46" s="18"/>
      <c r="F46" s="42" t="e">
        <f>#REF!+#REF!</f>
        <v>#REF!</v>
      </c>
      <c r="G46" s="42" t="e">
        <f>#REF!+#REF!</f>
        <v>#REF!</v>
      </c>
      <c r="H46" s="42" t="e">
        <f>#REF!+#REF!</f>
        <v>#REF!</v>
      </c>
    </row>
    <row r="47" spans="1:8" ht="16.5">
      <c r="A47" s="41" t="s">
        <v>54</v>
      </c>
      <c r="B47" s="19" t="s">
        <v>8</v>
      </c>
      <c r="C47" s="18" t="s">
        <v>10</v>
      </c>
      <c r="D47" s="19"/>
      <c r="E47" s="19"/>
      <c r="F47" s="42" t="e">
        <f>#REF!+#REF!</f>
        <v>#REF!</v>
      </c>
      <c r="G47" s="42" t="e">
        <f>#REF!+#REF!</f>
        <v>#REF!</v>
      </c>
      <c r="H47" s="42" t="e">
        <f>#REF!+#REF!</f>
        <v>#REF!</v>
      </c>
    </row>
    <row r="48" spans="1:8" s="1" customFormat="1" ht="16.5">
      <c r="A48" s="55" t="s">
        <v>116</v>
      </c>
      <c r="B48" s="20" t="s">
        <v>11</v>
      </c>
      <c r="C48" s="21"/>
      <c r="D48" s="20"/>
      <c r="E48" s="21"/>
      <c r="F48" s="51" t="e">
        <f>F49+F50</f>
        <v>#REF!</v>
      </c>
      <c r="G48" s="51" t="e">
        <f>G49+G50</f>
        <v>#REF!</v>
      </c>
      <c r="H48" s="51" t="e">
        <f>H49+H50</f>
        <v>#REF!</v>
      </c>
    </row>
    <row r="49" spans="1:8" ht="16.5">
      <c r="A49" s="41" t="s">
        <v>3</v>
      </c>
      <c r="B49" s="19" t="s">
        <v>11</v>
      </c>
      <c r="C49" s="19" t="s">
        <v>9</v>
      </c>
      <c r="D49" s="18"/>
      <c r="E49" s="18"/>
      <c r="F49" s="42" t="e">
        <f>#REF!+#REF!+#REF!</f>
        <v>#REF!</v>
      </c>
      <c r="G49" s="42" t="e">
        <f>#REF!+#REF!+#REF!</f>
        <v>#REF!</v>
      </c>
      <c r="H49" s="42" t="e">
        <f>#REF!+#REF!+#REF!</f>
        <v>#REF!</v>
      </c>
    </row>
    <row r="50" spans="1:8" ht="16.5">
      <c r="A50" s="41" t="s">
        <v>68</v>
      </c>
      <c r="B50" s="19" t="s">
        <v>11</v>
      </c>
      <c r="C50" s="19" t="s">
        <v>12</v>
      </c>
      <c r="D50" s="18"/>
      <c r="E50" s="18"/>
      <c r="F50" s="42" t="e">
        <f>#REF!</f>
        <v>#REF!</v>
      </c>
      <c r="G50" s="42" t="e">
        <f>#REF!</f>
        <v>#REF!</v>
      </c>
      <c r="H50" s="42" t="e">
        <f>#REF!</f>
        <v>#REF!</v>
      </c>
    </row>
    <row r="51" spans="1:8" s="1" customFormat="1" ht="16.5">
      <c r="A51" s="55" t="s">
        <v>71</v>
      </c>
      <c r="B51" s="20" t="s">
        <v>10</v>
      </c>
      <c r="C51" s="21"/>
      <c r="D51" s="21"/>
      <c r="E51" s="21"/>
      <c r="F51" s="51" t="e">
        <f>F52+F53</f>
        <v>#REF!</v>
      </c>
      <c r="G51" s="51" t="e">
        <f>G52+G53</f>
        <v>#REF!</v>
      </c>
      <c r="H51" s="51" t="e">
        <f>H52+H53</f>
        <v>#REF!</v>
      </c>
    </row>
    <row r="52" spans="1:8" ht="16.5" hidden="1">
      <c r="A52" s="15" t="s">
        <v>59</v>
      </c>
      <c r="B52" s="19" t="s">
        <v>10</v>
      </c>
      <c r="C52" s="18" t="s">
        <v>14</v>
      </c>
      <c r="D52" s="18"/>
      <c r="E52" s="18"/>
      <c r="F52" s="42">
        <v>0</v>
      </c>
      <c r="G52" s="42">
        <v>0</v>
      </c>
      <c r="H52" s="42">
        <v>0</v>
      </c>
    </row>
    <row r="53" spans="1:8" ht="16.5">
      <c r="A53" s="41" t="s">
        <v>72</v>
      </c>
      <c r="B53" s="19" t="s">
        <v>10</v>
      </c>
      <c r="C53" s="19" t="s">
        <v>10</v>
      </c>
      <c r="D53" s="18"/>
      <c r="E53" s="18"/>
      <c r="F53" s="42" t="e">
        <f>#REF!</f>
        <v>#REF!</v>
      </c>
      <c r="G53" s="42" t="e">
        <f>#REF!</f>
        <v>#REF!</v>
      </c>
      <c r="H53" s="42" t="e">
        <f>#REF!</f>
        <v>#REF!</v>
      </c>
    </row>
    <row r="54" spans="1:8" s="7" customFormat="1" ht="16.5">
      <c r="A54" s="55" t="s">
        <v>1</v>
      </c>
      <c r="B54" s="20">
        <v>10</v>
      </c>
      <c r="C54" s="21"/>
      <c r="D54" s="21"/>
      <c r="E54" s="21"/>
      <c r="F54" s="51" t="e">
        <f>F55+F56+F57+F58</f>
        <v>#REF!</v>
      </c>
      <c r="G54" s="51" t="e">
        <f>G55+G56+G57+G58</f>
        <v>#REF!</v>
      </c>
      <c r="H54" s="51" t="e">
        <f>H55+H56+H57+H58</f>
        <v>#REF!</v>
      </c>
    </row>
    <row r="55" spans="1:8" s="7" customFormat="1" ht="16.5">
      <c r="A55" s="40" t="s">
        <v>44</v>
      </c>
      <c r="B55" s="19" t="s">
        <v>16</v>
      </c>
      <c r="C55" s="18" t="s">
        <v>9</v>
      </c>
      <c r="D55" s="18"/>
      <c r="E55" s="18"/>
      <c r="F55" s="42" t="e">
        <f>#REF!</f>
        <v>#REF!</v>
      </c>
      <c r="G55" s="42" t="e">
        <f>#REF!</f>
        <v>#REF!</v>
      </c>
      <c r="H55" s="42" t="e">
        <f>#REF!</f>
        <v>#REF!</v>
      </c>
    </row>
    <row r="56" spans="1:8" ht="16.5">
      <c r="A56" s="41" t="s">
        <v>63</v>
      </c>
      <c r="B56" s="18">
        <v>10</v>
      </c>
      <c r="C56" s="18" t="s">
        <v>18</v>
      </c>
      <c r="D56" s="18"/>
      <c r="E56" s="18"/>
      <c r="F56" s="42" t="e">
        <f>#REF!+#REF!+#REF!</f>
        <v>#REF!</v>
      </c>
      <c r="G56" s="42" t="e">
        <f>#REF!+#REF!+#REF!</f>
        <v>#REF!</v>
      </c>
      <c r="H56" s="42" t="e">
        <f>#REF!+#REF!+#REF!</f>
        <v>#REF!</v>
      </c>
    </row>
    <row r="57" spans="1:8" ht="16.5">
      <c r="A57" s="41" t="s">
        <v>41</v>
      </c>
      <c r="B57" s="18">
        <v>10</v>
      </c>
      <c r="C57" s="18" t="s">
        <v>12</v>
      </c>
      <c r="D57" s="18"/>
      <c r="E57" s="18"/>
      <c r="F57" s="42" t="e">
        <f>#REF!+#REF!</f>
        <v>#REF!</v>
      </c>
      <c r="G57" s="42" t="e">
        <f>#REF!+#REF!</f>
        <v>#REF!</v>
      </c>
      <c r="H57" s="42" t="e">
        <f>#REF!+#REF!</f>
        <v>#REF!</v>
      </c>
    </row>
    <row r="58" spans="1:8" ht="16.5">
      <c r="A58" s="41" t="s">
        <v>5</v>
      </c>
      <c r="B58" s="18">
        <v>10</v>
      </c>
      <c r="C58" s="18" t="s">
        <v>15</v>
      </c>
      <c r="D58" s="18"/>
      <c r="E58" s="18"/>
      <c r="F58" s="42" t="e">
        <f>#REF!</f>
        <v>#REF!</v>
      </c>
      <c r="G58" s="42" t="e">
        <f>#REF!</f>
        <v>#REF!</v>
      </c>
      <c r="H58" s="42" t="e">
        <f>#REF!</f>
        <v>#REF!</v>
      </c>
    </row>
    <row r="59" spans="1:8" s="1" customFormat="1" ht="16.5">
      <c r="A59" s="55" t="s">
        <v>64</v>
      </c>
      <c r="B59" s="21">
        <v>11</v>
      </c>
      <c r="C59" s="21"/>
      <c r="D59" s="21"/>
      <c r="E59" s="21"/>
      <c r="F59" s="51" t="e">
        <f>F60</f>
        <v>#REF!</v>
      </c>
      <c r="G59" s="51" t="e">
        <f>G60</f>
        <v>#REF!</v>
      </c>
      <c r="H59" s="51" t="e">
        <f>H60</f>
        <v>#REF!</v>
      </c>
    </row>
    <row r="60" spans="1:8" ht="16.5">
      <c r="A60" s="41" t="s">
        <v>73</v>
      </c>
      <c r="B60" s="18">
        <v>11</v>
      </c>
      <c r="C60" s="18" t="s">
        <v>9</v>
      </c>
      <c r="D60" s="18"/>
      <c r="E60" s="18"/>
      <c r="F60" s="42" t="e">
        <f>#REF!+#REF!</f>
        <v>#REF!</v>
      </c>
      <c r="G60" s="42" t="e">
        <f>#REF!+#REF!</f>
        <v>#REF!</v>
      </c>
      <c r="H60" s="42" t="e">
        <f>#REF!+#REF!</f>
        <v>#REF!</v>
      </c>
    </row>
    <row r="61" spans="1:8" s="1" customFormat="1" ht="16.5">
      <c r="A61" s="57" t="s">
        <v>67</v>
      </c>
      <c r="B61" s="21" t="s">
        <v>35</v>
      </c>
      <c r="C61" s="21"/>
      <c r="D61" s="21"/>
      <c r="E61" s="21"/>
      <c r="F61" s="52" t="e">
        <f>F62</f>
        <v>#REF!</v>
      </c>
      <c r="G61" s="52" t="e">
        <f>G62</f>
        <v>#REF!</v>
      </c>
      <c r="H61" s="52" t="e">
        <f>H62</f>
        <v>#REF!</v>
      </c>
    </row>
    <row r="62" spans="1:8" ht="16.5">
      <c r="A62" s="46" t="s">
        <v>62</v>
      </c>
      <c r="B62" s="18" t="s">
        <v>35</v>
      </c>
      <c r="C62" s="18" t="s">
        <v>14</v>
      </c>
      <c r="D62" s="18"/>
      <c r="E62" s="18"/>
      <c r="F62" s="43" t="e">
        <f>#REF!</f>
        <v>#REF!</v>
      </c>
      <c r="G62" s="43" t="e">
        <f>#REF!</f>
        <v>#REF!</v>
      </c>
      <c r="H62" s="43" t="e">
        <f>#REF!</f>
        <v>#REF!</v>
      </c>
    </row>
    <row r="63" spans="1:8" s="1" customFormat="1" ht="16.5">
      <c r="A63" s="57" t="s">
        <v>80</v>
      </c>
      <c r="B63" s="21" t="s">
        <v>19</v>
      </c>
      <c r="C63" s="21"/>
      <c r="D63" s="21"/>
      <c r="E63" s="21"/>
      <c r="F63" s="52" t="e">
        <f>F64</f>
        <v>#REF!</v>
      </c>
      <c r="G63" s="52" t="e">
        <f>G64</f>
        <v>#REF!</v>
      </c>
      <c r="H63" s="52" t="e">
        <f>H64</f>
        <v>#REF!</v>
      </c>
    </row>
    <row r="64" spans="1:8" ht="16.5">
      <c r="A64" s="40" t="s">
        <v>81</v>
      </c>
      <c r="B64" s="18" t="s">
        <v>19</v>
      </c>
      <c r="C64" s="18" t="s">
        <v>9</v>
      </c>
      <c r="D64" s="19"/>
      <c r="E64" s="19"/>
      <c r="F64" s="42" t="e">
        <f>#REF!</f>
        <v>#REF!</v>
      </c>
      <c r="G64" s="42" t="e">
        <f>#REF!</f>
        <v>#REF!</v>
      </c>
      <c r="H64" s="42" t="e">
        <f>#REF!</f>
        <v>#REF!</v>
      </c>
    </row>
    <row r="65" spans="1:8" s="7" customFormat="1" ht="33">
      <c r="A65" s="55" t="s">
        <v>114</v>
      </c>
      <c r="B65" s="21" t="s">
        <v>58</v>
      </c>
      <c r="C65" s="21"/>
      <c r="D65" s="21"/>
      <c r="E65" s="21"/>
      <c r="F65" s="51" t="e">
        <f>F66+F67</f>
        <v>#REF!</v>
      </c>
      <c r="G65" s="51" t="e">
        <f>G66+G67</f>
        <v>#REF!</v>
      </c>
      <c r="H65" s="51" t="e">
        <f>H66+H67</f>
        <v>#REF!</v>
      </c>
    </row>
    <row r="66" spans="1:8" ht="33">
      <c r="A66" s="41" t="s">
        <v>112</v>
      </c>
      <c r="B66" s="18" t="s">
        <v>58</v>
      </c>
      <c r="C66" s="18" t="s">
        <v>9</v>
      </c>
      <c r="D66" s="18"/>
      <c r="E66" s="18"/>
      <c r="F66" s="42" t="e">
        <f>#REF!</f>
        <v>#REF!</v>
      </c>
      <c r="G66" s="42" t="e">
        <f>#REF!</f>
        <v>#REF!</v>
      </c>
      <c r="H66" s="42" t="e">
        <f>#REF!</f>
        <v>#REF!</v>
      </c>
    </row>
    <row r="67" spans="1:8" ht="16.5">
      <c r="A67" s="47" t="s">
        <v>113</v>
      </c>
      <c r="B67" s="18" t="s">
        <v>58</v>
      </c>
      <c r="C67" s="18" t="s">
        <v>18</v>
      </c>
      <c r="D67" s="18"/>
      <c r="E67" s="18"/>
      <c r="F67" s="42" t="e">
        <f>#REF!</f>
        <v>#REF!</v>
      </c>
      <c r="G67" s="42" t="e">
        <f>#REF!</f>
        <v>#REF!</v>
      </c>
      <c r="H67" s="42" t="e">
        <f>#REF!</f>
        <v>#REF!</v>
      </c>
    </row>
    <row r="68" spans="1:8" s="1" customFormat="1" ht="16.5">
      <c r="A68" s="48" t="s">
        <v>7</v>
      </c>
      <c r="B68" s="45"/>
      <c r="C68" s="45"/>
      <c r="D68" s="45"/>
      <c r="E68" s="45"/>
      <c r="F68" s="49" t="e">
        <f>F14+F22+F24+F28+F35+F39+F42+F48+F51+F54+F59+F61+F63+F65</f>
        <v>#REF!</v>
      </c>
      <c r="G68" s="49" t="e">
        <f>G14+G22+G24+G28+G35+G39+G42+G48+G51+G54+G59+G61+G63+G65</f>
        <v>#REF!</v>
      </c>
      <c r="H68" s="49" t="e">
        <f>H14+H22+H24+H28+H35+H39+H42+H48+H51+H54+H59+H61+H63+H65</f>
        <v>#REF!</v>
      </c>
    </row>
    <row r="70" spans="6:8" ht="12.75">
      <c r="F70" s="11" t="e">
        <f>#REF!</f>
        <v>#REF!</v>
      </c>
      <c r="G70" s="11" t="e">
        <f>#REF!</f>
        <v>#REF!</v>
      </c>
      <c r="H70" s="11" t="e">
        <f>#REF!</f>
        <v>#REF!</v>
      </c>
    </row>
    <row r="71" spans="6:8" ht="12.75">
      <c r="F71" s="11" t="e">
        <f>F68-F70</f>
        <v>#REF!</v>
      </c>
      <c r="G71" s="11" t="e">
        <f>G68-G70</f>
        <v>#REF!</v>
      </c>
      <c r="H71" s="11" t="e">
        <f>H68-H70</f>
        <v>#REF!</v>
      </c>
    </row>
    <row r="74" spans="2:8" ht="18">
      <c r="B74"/>
      <c r="C74"/>
      <c r="D74"/>
      <c r="E74"/>
      <c r="F74" s="12"/>
      <c r="G74" s="12"/>
      <c r="H74" s="1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1" t="e">
        <f>#REF!</f>
        <v>#REF!</v>
      </c>
      <c r="G78" s="11" t="e">
        <f>#REF!</f>
        <v>#REF!</v>
      </c>
      <c r="H78" s="11" t="e">
        <f>#REF!</f>
        <v>#REF!</v>
      </c>
    </row>
    <row r="119" spans="1:8" ht="16.5">
      <c r="A119" s="37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9.125" style="25" customWidth="1"/>
    <col min="2" max="2" width="59.25390625" style="25" customWidth="1"/>
    <col min="3" max="3" width="17.625" style="25" customWidth="1"/>
    <col min="4" max="16384" width="9.125" style="25" customWidth="1"/>
  </cols>
  <sheetData>
    <row r="1" spans="1:3" ht="12.75">
      <c r="A1" s="8" t="s">
        <v>22</v>
      </c>
      <c r="B1" s="14" t="s">
        <v>95</v>
      </c>
      <c r="C1" s="14"/>
    </row>
    <row r="2" spans="1:3" ht="12.75">
      <c r="A2" s="8"/>
      <c r="B2" s="268" t="s">
        <v>90</v>
      </c>
      <c r="C2" s="268"/>
    </row>
    <row r="3" spans="1:3" ht="12.75">
      <c r="A3" s="8"/>
      <c r="B3" s="14" t="s">
        <v>88</v>
      </c>
      <c r="C3" s="14"/>
    </row>
    <row r="4" spans="1:3" ht="12.75">
      <c r="A4" s="8"/>
      <c r="B4" s="14" t="s">
        <v>89</v>
      </c>
      <c r="C4" s="14"/>
    </row>
    <row r="5" spans="1:3" ht="21" customHeight="1">
      <c r="A5" s="8"/>
      <c r="B5" s="14" t="s">
        <v>91</v>
      </c>
      <c r="C5" s="14"/>
    </row>
    <row r="6" spans="1:3" ht="18" customHeight="1">
      <c r="A6" s="8"/>
      <c r="B6" s="14" t="s">
        <v>96</v>
      </c>
      <c r="C6" s="14"/>
    </row>
    <row r="7" spans="1:3" ht="18" customHeight="1">
      <c r="A7" s="8"/>
      <c r="B7" s="14" t="s">
        <v>94</v>
      </c>
      <c r="C7" s="14"/>
    </row>
    <row r="8" spans="2:3" ht="15.75">
      <c r="B8" s="27"/>
      <c r="C8" s="27"/>
    </row>
    <row r="9" spans="2:3" ht="15.75">
      <c r="B9" s="27"/>
      <c r="C9" s="27"/>
    </row>
    <row r="10" spans="2:3" ht="15.75">
      <c r="B10" s="27"/>
      <c r="C10" s="27"/>
    </row>
    <row r="11" spans="2:3" ht="15.75">
      <c r="B11" s="27"/>
      <c r="C11" s="27"/>
    </row>
    <row r="13" spans="1:6" ht="15.75">
      <c r="A13" s="269" t="s">
        <v>84</v>
      </c>
      <c r="B13" s="269"/>
      <c r="C13" s="269"/>
      <c r="D13" s="269"/>
      <c r="E13" s="26"/>
      <c r="F13" s="26"/>
    </row>
    <row r="14" spans="1:4" ht="15.75">
      <c r="A14" s="269" t="s">
        <v>85</v>
      </c>
      <c r="B14" s="269"/>
      <c r="C14" s="269"/>
      <c r="D14" s="269"/>
    </row>
    <row r="15" spans="1:6" ht="15.75">
      <c r="A15" s="269" t="s">
        <v>76</v>
      </c>
      <c r="B15" s="269"/>
      <c r="C15" s="269"/>
      <c r="D15" s="269"/>
      <c r="E15" s="26"/>
      <c r="F15" s="26"/>
    </row>
    <row r="16" spans="2:6" ht="15.75">
      <c r="B16" s="27"/>
      <c r="C16" s="26"/>
      <c r="D16" s="26"/>
      <c r="E16" s="26"/>
      <c r="F16" s="26"/>
    </row>
    <row r="17" spans="2:6" ht="15.75">
      <c r="B17" s="27"/>
      <c r="C17" s="26"/>
      <c r="D17" s="26"/>
      <c r="E17" s="26"/>
      <c r="F17" s="26"/>
    </row>
    <row r="19" spans="1:3" s="28" customFormat="1" ht="15.75">
      <c r="A19" s="34" t="s">
        <v>60</v>
      </c>
      <c r="B19" s="34" t="s">
        <v>86</v>
      </c>
      <c r="C19" s="34" t="s">
        <v>78</v>
      </c>
    </row>
    <row r="20" spans="1:3" ht="28.5">
      <c r="A20" s="267" t="s">
        <v>30</v>
      </c>
      <c r="B20" s="33" t="s">
        <v>82</v>
      </c>
      <c r="C20" s="31">
        <f>C22-C23</f>
        <v>5340000</v>
      </c>
    </row>
    <row r="21" spans="1:3" ht="15.75">
      <c r="A21" s="267"/>
      <c r="B21" s="29" t="s">
        <v>87</v>
      </c>
      <c r="C21" s="32"/>
    </row>
    <row r="22" spans="1:3" ht="47.25">
      <c r="A22" s="267"/>
      <c r="B22" s="35" t="s">
        <v>83</v>
      </c>
      <c r="C22" s="31">
        <v>5500000</v>
      </c>
    </row>
    <row r="23" spans="1:3" ht="47.25">
      <c r="A23" s="267"/>
      <c r="B23" s="35" t="s">
        <v>92</v>
      </c>
      <c r="C23" s="31">
        <v>160000</v>
      </c>
    </row>
    <row r="24" ht="15.75">
      <c r="B24" s="30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84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92.00390625" style="0" customWidth="1"/>
  </cols>
  <sheetData>
    <row r="1" ht="15.75">
      <c r="A1" s="27" t="s">
        <v>1307</v>
      </c>
    </row>
    <row r="2" ht="15.75">
      <c r="A2" s="27" t="s">
        <v>1308</v>
      </c>
    </row>
    <row r="3" ht="15.75">
      <c r="A3" s="27" t="s">
        <v>1116</v>
      </c>
    </row>
    <row r="4" ht="15.75">
      <c r="A4" s="27" t="s">
        <v>1117</v>
      </c>
    </row>
    <row r="5" ht="15.75">
      <c r="A5" s="27" t="s">
        <v>1118</v>
      </c>
    </row>
    <row r="6" ht="15.75">
      <c r="A6" s="27" t="s">
        <v>1119</v>
      </c>
    </row>
    <row r="7" ht="15.75">
      <c r="A7" s="27" t="s">
        <v>1120</v>
      </c>
    </row>
    <row r="8" ht="15.75">
      <c r="A8" s="27" t="s">
        <v>1121</v>
      </c>
    </row>
    <row r="9" ht="15.75">
      <c r="A9" s="219"/>
    </row>
    <row r="10" ht="12.75">
      <c r="A10" s="220"/>
    </row>
    <row r="11" ht="18.75">
      <c r="A11" s="221" t="s">
        <v>995</v>
      </c>
    </row>
    <row r="12" ht="18.75">
      <c r="A12" s="221" t="s">
        <v>996</v>
      </c>
    </row>
    <row r="13" ht="18.75">
      <c r="A13" s="221" t="s">
        <v>997</v>
      </c>
    </row>
    <row r="14" ht="18.75">
      <c r="A14" s="221" t="s">
        <v>998</v>
      </c>
    </row>
    <row r="15" ht="16.5">
      <c r="A15" s="222"/>
    </row>
    <row r="16" ht="82.5">
      <c r="A16" s="222" t="s">
        <v>999</v>
      </c>
    </row>
    <row r="17" ht="66">
      <c r="A17" s="222" t="s">
        <v>1000</v>
      </c>
    </row>
    <row r="18" ht="49.5">
      <c r="A18" s="222" t="s">
        <v>1001</v>
      </c>
    </row>
    <row r="19" ht="49.5">
      <c r="A19" s="222" t="s">
        <v>1002</v>
      </c>
    </row>
    <row r="20" ht="49.5">
      <c r="A20" s="222" t="s">
        <v>1003</v>
      </c>
    </row>
    <row r="21" ht="16.5">
      <c r="A21" s="222"/>
    </row>
    <row r="22" ht="16.5">
      <c r="A22" s="222" t="s">
        <v>1004</v>
      </c>
    </row>
    <row r="23" ht="16.5">
      <c r="A23" s="222"/>
    </row>
    <row r="24" ht="33">
      <c r="A24" s="222" t="s">
        <v>1005</v>
      </c>
    </row>
    <row r="25" ht="33">
      <c r="A25" s="222" t="s">
        <v>1006</v>
      </c>
    </row>
    <row r="26" ht="16.5">
      <c r="A26" s="222" t="s">
        <v>1007</v>
      </c>
    </row>
    <row r="27" ht="17.25">
      <c r="A27" s="224" t="s">
        <v>1008</v>
      </c>
    </row>
    <row r="28" ht="16.5">
      <c r="A28" s="225" t="s">
        <v>1009</v>
      </c>
    </row>
    <row r="29" ht="16.5">
      <c r="A29" s="222"/>
    </row>
    <row r="30" ht="16.5">
      <c r="A30" s="222" t="s">
        <v>1010</v>
      </c>
    </row>
    <row r="31" ht="16.5">
      <c r="A31" s="222" t="s">
        <v>1011</v>
      </c>
    </row>
    <row r="32" ht="19.5">
      <c r="A32" s="222" t="s">
        <v>1012</v>
      </c>
    </row>
    <row r="33" ht="19.5">
      <c r="A33" s="222" t="s">
        <v>1013</v>
      </c>
    </row>
    <row r="34" ht="33">
      <c r="A34" s="222" t="s">
        <v>1014</v>
      </c>
    </row>
    <row r="35" ht="16.5">
      <c r="A35" s="222" t="s">
        <v>1015</v>
      </c>
    </row>
    <row r="36" ht="16.5">
      <c r="A36" s="222"/>
    </row>
    <row r="37" ht="16.5">
      <c r="A37" s="225" t="s">
        <v>1016</v>
      </c>
    </row>
    <row r="38" ht="16.5">
      <c r="A38" s="222"/>
    </row>
    <row r="39" ht="36">
      <c r="A39" s="222" t="s">
        <v>1017</v>
      </c>
    </row>
    <row r="40" ht="16.5">
      <c r="A40" s="222"/>
    </row>
    <row r="41" ht="16.5">
      <c r="A41" s="222" t="s">
        <v>1090</v>
      </c>
    </row>
    <row r="42" ht="16.5">
      <c r="A42" s="222"/>
    </row>
    <row r="43" ht="33">
      <c r="A43" s="222" t="s">
        <v>1018</v>
      </c>
    </row>
    <row r="44" ht="49.5">
      <c r="A44" s="222" t="s">
        <v>1019</v>
      </c>
    </row>
    <row r="45" ht="16.5">
      <c r="A45" s="222"/>
    </row>
    <row r="46" ht="33">
      <c r="A46" s="145" t="s">
        <v>1020</v>
      </c>
    </row>
    <row r="47" ht="16.5">
      <c r="A47" s="222" t="s">
        <v>1021</v>
      </c>
    </row>
    <row r="48" ht="16.5">
      <c r="A48" s="222" t="s">
        <v>1022</v>
      </c>
    </row>
    <row r="49" ht="16.5">
      <c r="A49" s="222"/>
    </row>
    <row r="50" ht="49.5">
      <c r="A50" s="222" t="s">
        <v>1023</v>
      </c>
    </row>
    <row r="51" ht="33">
      <c r="A51" s="222" t="s">
        <v>1024</v>
      </c>
    </row>
    <row r="52" ht="16.5">
      <c r="A52" s="222"/>
    </row>
    <row r="53" ht="16.5">
      <c r="A53" s="225" t="s">
        <v>1025</v>
      </c>
    </row>
    <row r="54" ht="16.5">
      <c r="A54" s="222"/>
    </row>
    <row r="55" ht="33">
      <c r="A55" s="222" t="s">
        <v>1026</v>
      </c>
    </row>
    <row r="56" ht="16.5">
      <c r="A56" s="222" t="s">
        <v>22</v>
      </c>
    </row>
    <row r="57" ht="19.5">
      <c r="A57" s="222" t="s">
        <v>1092</v>
      </c>
    </row>
    <row r="58" ht="16.5">
      <c r="A58" s="222"/>
    </row>
    <row r="59" ht="36">
      <c r="A59" s="222" t="s">
        <v>1027</v>
      </c>
    </row>
    <row r="60" ht="16.5">
      <c r="A60" s="222" t="s">
        <v>1028</v>
      </c>
    </row>
    <row r="61" ht="16.5">
      <c r="A61" s="222" t="s">
        <v>1029</v>
      </c>
    </row>
    <row r="62" ht="16.5">
      <c r="A62" s="222" t="s">
        <v>1091</v>
      </c>
    </row>
    <row r="63" ht="16.5">
      <c r="A63" s="222"/>
    </row>
    <row r="64" ht="16.5">
      <c r="A64" s="225" t="s">
        <v>1030</v>
      </c>
    </row>
    <row r="65" ht="16.5">
      <c r="A65" s="222"/>
    </row>
    <row r="66" ht="82.5">
      <c r="A66" s="222" t="s">
        <v>1031</v>
      </c>
    </row>
    <row r="67" ht="33">
      <c r="A67" s="222" t="s">
        <v>1032</v>
      </c>
    </row>
    <row r="68" ht="16.5">
      <c r="A68" s="222" t="s">
        <v>1033</v>
      </c>
    </row>
    <row r="69" ht="33">
      <c r="A69" s="222" t="s">
        <v>1034</v>
      </c>
    </row>
    <row r="70" ht="16.5">
      <c r="A70" s="222" t="s">
        <v>1035</v>
      </c>
    </row>
    <row r="71" ht="16.5">
      <c r="A71" s="222"/>
    </row>
    <row r="72" ht="17.25">
      <c r="A72" s="226" t="s">
        <v>1036</v>
      </c>
    </row>
    <row r="73" ht="16.5">
      <c r="A73" s="222"/>
    </row>
    <row r="74" ht="33">
      <c r="A74" s="222" t="s">
        <v>1037</v>
      </c>
    </row>
    <row r="75" ht="16.5">
      <c r="A75" s="222"/>
    </row>
    <row r="76" ht="19.5">
      <c r="A76" s="222" t="s">
        <v>1093</v>
      </c>
    </row>
    <row r="77" ht="16.5">
      <c r="A77" s="222" t="s">
        <v>22</v>
      </c>
    </row>
    <row r="78" ht="33">
      <c r="A78" s="222" t="s">
        <v>1038</v>
      </c>
    </row>
    <row r="79" ht="33">
      <c r="A79" s="222" t="s">
        <v>1039</v>
      </c>
    </row>
    <row r="80" ht="49.5">
      <c r="A80" s="222" t="s">
        <v>1040</v>
      </c>
    </row>
    <row r="81" ht="33">
      <c r="A81" s="222" t="s">
        <v>1041</v>
      </c>
    </row>
    <row r="82" ht="33">
      <c r="A82" s="222" t="s">
        <v>1042</v>
      </c>
    </row>
    <row r="83" ht="33">
      <c r="A83" s="222" t="s">
        <v>1043</v>
      </c>
    </row>
    <row r="84" ht="16.5">
      <c r="A84" s="222"/>
    </row>
    <row r="85" ht="49.5">
      <c r="A85" s="227" t="s">
        <v>1044</v>
      </c>
    </row>
    <row r="86" ht="16.5">
      <c r="A86" s="222" t="s">
        <v>1094</v>
      </c>
    </row>
    <row r="87" ht="16.5">
      <c r="A87" s="222"/>
    </row>
    <row r="88" ht="33">
      <c r="A88" s="222" t="s">
        <v>1095</v>
      </c>
    </row>
    <row r="89" ht="22.5" customHeight="1">
      <c r="A89" s="228" t="s">
        <v>1096</v>
      </c>
    </row>
    <row r="90" ht="16.5">
      <c r="A90" s="222"/>
    </row>
    <row r="91" ht="49.5">
      <c r="A91" s="222" t="s">
        <v>1045</v>
      </c>
    </row>
    <row r="92" ht="16.5">
      <c r="A92" s="222"/>
    </row>
    <row r="93" ht="51" customHeight="1">
      <c r="A93" s="227" t="s">
        <v>1046</v>
      </c>
    </row>
    <row r="94" ht="11.25" customHeight="1">
      <c r="A94" s="227"/>
    </row>
    <row r="95" ht="16.5">
      <c r="A95" s="222" t="s">
        <v>1097</v>
      </c>
    </row>
    <row r="96" ht="16.5">
      <c r="A96" s="222"/>
    </row>
    <row r="97" ht="16.5">
      <c r="A97" s="222"/>
    </row>
    <row r="98" ht="16.5">
      <c r="A98" s="222" t="s">
        <v>1047</v>
      </c>
    </row>
    <row r="99" ht="19.5">
      <c r="A99" s="222" t="s">
        <v>1048</v>
      </c>
    </row>
    <row r="100" ht="16.5">
      <c r="A100" s="222" t="s">
        <v>1021</v>
      </c>
    </row>
    <row r="101" ht="16.5">
      <c r="A101" s="222" t="s">
        <v>1098</v>
      </c>
    </row>
    <row r="102" ht="16.5">
      <c r="A102" s="222" t="s">
        <v>1049</v>
      </c>
    </row>
    <row r="103" ht="36">
      <c r="A103" s="222" t="s">
        <v>1099</v>
      </c>
    </row>
    <row r="104" ht="16.5">
      <c r="A104" s="222"/>
    </row>
    <row r="105" ht="49.5">
      <c r="A105" s="227" t="s">
        <v>1050</v>
      </c>
    </row>
    <row r="106" ht="16.5">
      <c r="A106" s="222" t="s">
        <v>1100</v>
      </c>
    </row>
    <row r="107" ht="33">
      <c r="A107" s="222" t="s">
        <v>1051</v>
      </c>
    </row>
    <row r="108" ht="16.5">
      <c r="A108" s="222" t="s">
        <v>1052</v>
      </c>
    </row>
    <row r="109" ht="20.25" customHeight="1">
      <c r="A109" s="222" t="s">
        <v>1053</v>
      </c>
    </row>
    <row r="110" ht="16.5">
      <c r="A110" s="222" t="s">
        <v>1054</v>
      </c>
    </row>
    <row r="111" ht="16.5">
      <c r="A111" s="222" t="s">
        <v>1055</v>
      </c>
    </row>
    <row r="112" ht="16.5">
      <c r="A112" s="222" t="s">
        <v>1056</v>
      </c>
    </row>
    <row r="113" ht="16.5">
      <c r="A113" s="222" t="s">
        <v>1101</v>
      </c>
    </row>
    <row r="114" ht="33">
      <c r="A114" s="222" t="s">
        <v>1057</v>
      </c>
    </row>
    <row r="115" ht="33">
      <c r="A115" s="222" t="s">
        <v>1058</v>
      </c>
    </row>
    <row r="116" ht="68.25" customHeight="1">
      <c r="A116" s="222" t="s">
        <v>1102</v>
      </c>
    </row>
    <row r="117" ht="16.5">
      <c r="A117" s="222" t="s">
        <v>1103</v>
      </c>
    </row>
    <row r="118" ht="16.5">
      <c r="A118" s="222"/>
    </row>
    <row r="119" ht="33">
      <c r="A119" s="227" t="s">
        <v>1059</v>
      </c>
    </row>
    <row r="120" ht="16.5">
      <c r="A120" s="222"/>
    </row>
    <row r="121" ht="16.5">
      <c r="A121" s="222" t="s">
        <v>1104</v>
      </c>
    </row>
    <row r="122" ht="16.5">
      <c r="A122" s="222"/>
    </row>
    <row r="123" ht="16.5">
      <c r="A123" s="222" t="s">
        <v>1047</v>
      </c>
    </row>
    <row r="124" ht="18.75">
      <c r="A124" s="222" t="s">
        <v>1060</v>
      </c>
    </row>
    <row r="125" ht="16.5">
      <c r="A125" s="222" t="s">
        <v>1021</v>
      </c>
    </row>
    <row r="126" ht="16.5">
      <c r="A126" s="222" t="s">
        <v>1106</v>
      </c>
    </row>
    <row r="127" ht="9" customHeight="1">
      <c r="A127" s="222" t="s">
        <v>1049</v>
      </c>
    </row>
    <row r="128" ht="35.25">
      <c r="A128" s="229" t="s">
        <v>1105</v>
      </c>
    </row>
    <row r="129" ht="49.5">
      <c r="A129" s="222" t="s">
        <v>1061</v>
      </c>
    </row>
    <row r="130" ht="49.5">
      <c r="A130" s="227" t="s">
        <v>1062</v>
      </c>
    </row>
    <row r="131" ht="16.5">
      <c r="A131" s="227"/>
    </row>
    <row r="132" ht="16.5">
      <c r="A132" s="222" t="s">
        <v>1107</v>
      </c>
    </row>
    <row r="133" ht="16.5">
      <c r="A133" s="222"/>
    </row>
    <row r="134" ht="21" customHeight="1">
      <c r="A134" s="222" t="s">
        <v>1047</v>
      </c>
    </row>
    <row r="135" ht="21.75" customHeight="1">
      <c r="A135" s="222" t="s">
        <v>1063</v>
      </c>
    </row>
    <row r="136" ht="16.5">
      <c r="A136" s="222" t="s">
        <v>1021</v>
      </c>
    </row>
    <row r="137" ht="16.5">
      <c r="A137" s="222" t="s">
        <v>1108</v>
      </c>
    </row>
    <row r="138" ht="16.5">
      <c r="A138" s="222" t="s">
        <v>1049</v>
      </c>
    </row>
    <row r="139" ht="16.5">
      <c r="A139" s="222" t="s">
        <v>1109</v>
      </c>
    </row>
    <row r="140" ht="16.5">
      <c r="A140" s="222"/>
    </row>
    <row r="141" ht="34.5">
      <c r="A141" s="226" t="s">
        <v>1064</v>
      </c>
    </row>
    <row r="142" ht="16.5">
      <c r="A142" s="222"/>
    </row>
    <row r="143" ht="33">
      <c r="A143" s="227" t="s">
        <v>1065</v>
      </c>
    </row>
    <row r="144" ht="16.5">
      <c r="A144" s="222"/>
    </row>
    <row r="145" ht="19.5">
      <c r="A145" s="222" t="s">
        <v>1110</v>
      </c>
    </row>
    <row r="146" ht="16.5">
      <c r="A146" s="222"/>
    </row>
    <row r="147" ht="16.5">
      <c r="A147" s="222" t="s">
        <v>1066</v>
      </c>
    </row>
    <row r="148" ht="16.5">
      <c r="A148" s="222" t="s">
        <v>1067</v>
      </c>
    </row>
    <row r="149" ht="16.5">
      <c r="A149" s="222" t="s">
        <v>1068</v>
      </c>
    </row>
    <row r="150" ht="17.25" customHeight="1">
      <c r="A150" s="222" t="s">
        <v>1069</v>
      </c>
    </row>
    <row r="151" ht="19.5">
      <c r="A151" s="222" t="s">
        <v>1070</v>
      </c>
    </row>
    <row r="152" ht="16.5">
      <c r="A152" s="222" t="s">
        <v>1071</v>
      </c>
    </row>
    <row r="153" ht="16.5">
      <c r="A153" s="222" t="s">
        <v>1072</v>
      </c>
    </row>
    <row r="154" ht="19.5">
      <c r="A154" s="222" t="s">
        <v>1073</v>
      </c>
    </row>
    <row r="155" ht="16.5">
      <c r="A155" s="222"/>
    </row>
    <row r="156" ht="36">
      <c r="A156" s="227" t="s">
        <v>1074</v>
      </c>
    </row>
    <row r="157" ht="27.75" customHeight="1">
      <c r="A157" s="223" t="s">
        <v>1075</v>
      </c>
    </row>
    <row r="159" ht="17.25">
      <c r="A159" s="230" t="s">
        <v>1076</v>
      </c>
    </row>
    <row r="160" ht="33">
      <c r="A160" s="222" t="s">
        <v>1077</v>
      </c>
    </row>
    <row r="161" ht="16.5">
      <c r="A161" s="222"/>
    </row>
    <row r="162" ht="16.5">
      <c r="A162" s="222" t="s">
        <v>1111</v>
      </c>
    </row>
    <row r="163" ht="19.5" customHeight="1">
      <c r="A163" s="222" t="s">
        <v>1078</v>
      </c>
    </row>
    <row r="164" ht="19.5" customHeight="1">
      <c r="A164" s="222" t="s">
        <v>1079</v>
      </c>
    </row>
    <row r="165" ht="19.5" customHeight="1">
      <c r="A165" s="222" t="s">
        <v>1067</v>
      </c>
    </row>
    <row r="166" ht="19.5" customHeight="1">
      <c r="A166" s="222" t="s">
        <v>1068</v>
      </c>
    </row>
    <row r="167" ht="33">
      <c r="A167" s="222" t="s">
        <v>1080</v>
      </c>
    </row>
    <row r="168" ht="55.5">
      <c r="A168" s="222" t="s">
        <v>1112</v>
      </c>
    </row>
    <row r="169" ht="21" customHeight="1">
      <c r="A169" s="222" t="s">
        <v>1081</v>
      </c>
    </row>
    <row r="170" ht="19.5">
      <c r="A170" s="222" t="s">
        <v>1115</v>
      </c>
    </row>
    <row r="171" ht="39">
      <c r="A171" s="222" t="s">
        <v>1113</v>
      </c>
    </row>
    <row r="172" ht="19.5">
      <c r="A172" s="222" t="s">
        <v>1082</v>
      </c>
    </row>
    <row r="174" ht="36">
      <c r="A174" s="222" t="s">
        <v>1083</v>
      </c>
    </row>
    <row r="175" ht="36">
      <c r="A175" s="222" t="s">
        <v>1114</v>
      </c>
    </row>
    <row r="176" ht="19.5">
      <c r="A176" s="222" t="s">
        <v>1084</v>
      </c>
    </row>
    <row r="177" ht="13.5">
      <c r="A177" s="223" t="s">
        <v>1008</v>
      </c>
    </row>
    <row r="178" ht="16.5">
      <c r="A178" s="227" t="s">
        <v>1085</v>
      </c>
    </row>
    <row r="179" ht="16.5">
      <c r="A179" s="222"/>
    </row>
    <row r="180" ht="16.5">
      <c r="A180" s="222" t="s">
        <v>1086</v>
      </c>
    </row>
    <row r="181" ht="12" customHeight="1">
      <c r="A181" s="222"/>
    </row>
    <row r="182" ht="16.5" customHeight="1">
      <c r="A182" s="222" t="s">
        <v>1087</v>
      </c>
    </row>
    <row r="183" ht="33">
      <c r="A183" s="222" t="s">
        <v>1088</v>
      </c>
    </row>
    <row r="184" ht="49.5">
      <c r="A184" s="222" t="s">
        <v>1089</v>
      </c>
    </row>
  </sheetData>
  <sheetProtection/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35"/>
  <legacyDrawing r:id="rId34"/>
  <oleObjects>
    <oleObject progId="Equation.3" shapeId="759508" r:id="rId1"/>
    <oleObject progId="Equation.3" shapeId="759509" r:id="rId2"/>
    <oleObject progId="Equation.3" shapeId="759510" r:id="rId3"/>
    <oleObject progId="Equation.3" shapeId="759511" r:id="rId4"/>
    <oleObject progId="Equation.3" shapeId="759512" r:id="rId5"/>
    <oleObject progId="Equation.3" shapeId="759513" r:id="rId6"/>
    <oleObject progId="Equation.3" shapeId="759515" r:id="rId7"/>
    <oleObject progId="Equation.3" shapeId="759516" r:id="rId8"/>
    <oleObject progId="Equation.3" shapeId="759517" r:id="rId9"/>
    <oleObject progId="Equation.3" shapeId="759518" r:id="rId10"/>
    <oleObject progId="Equation.3" shapeId="759519" r:id="rId11"/>
    <oleObject progId="Equation.3" shapeId="759520" r:id="rId12"/>
    <oleObject progId="Equation.3" shapeId="759521" r:id="rId13"/>
    <oleObject progId="Equation.3" shapeId="759522" r:id="rId14"/>
    <oleObject progId="Equation.3" shapeId="759523" r:id="rId15"/>
    <oleObject progId="Equation.3" shapeId="759524" r:id="rId16"/>
    <oleObject progId="Equation.3" shapeId="759525" r:id="rId17"/>
    <oleObject progId="Equation.3" shapeId="759526" r:id="rId18"/>
    <oleObject progId="Equation.3" shapeId="759527" r:id="rId19"/>
    <oleObject progId="Equation.3" shapeId="759528" r:id="rId20"/>
    <oleObject progId="Equation.3" shapeId="759529" r:id="rId21"/>
    <oleObject progId="Equation.3" shapeId="759530" r:id="rId22"/>
    <oleObject progId="Equation.3" shapeId="759531" r:id="rId23"/>
    <oleObject progId="Equation.3" shapeId="759532" r:id="rId24"/>
    <oleObject progId="Equation.3" shapeId="759533" r:id="rId25"/>
    <oleObject progId="Equation.3" shapeId="759534" r:id="rId26"/>
    <oleObject progId="Equation.3" shapeId="759535" r:id="rId27"/>
    <oleObject progId="Equation.3" shapeId="759536" r:id="rId28"/>
    <oleObject progId="Equation.3" shapeId="759537" r:id="rId29"/>
    <oleObject progId="Equation.3" shapeId="759538" r:id="rId30"/>
    <oleObject progId="Equation.3" shapeId="759539" r:id="rId31"/>
    <oleObject progId="Equation.3" shapeId="759540" r:id="rId32"/>
    <oleObject progId="Equation.3" shapeId="777178" r:id="rId3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ВаймерНА</cp:lastModifiedBy>
  <cp:lastPrinted>2020-05-06T09:02:31Z</cp:lastPrinted>
  <dcterms:created xsi:type="dcterms:W3CDTF">2007-02-13T14:32:46Z</dcterms:created>
  <dcterms:modified xsi:type="dcterms:W3CDTF">2020-05-06T09:03:14Z</dcterms:modified>
  <cp:category/>
  <cp:version/>
  <cp:contentType/>
  <cp:contentStatus/>
</cp:coreProperties>
</file>