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9 месяцев  2025" sheetId="28" r:id="rId5"/>
  </sheets>
  <definedNames>
    <definedName name="_xlnm._FilterDatabase" localSheetId="4" hidden="1">'Отчет за 9 месяцев  2025'!$C$1:$C$153</definedName>
    <definedName name="_xlnm.Print_Titles" localSheetId="0">Отчет!$4:$6</definedName>
    <definedName name="_xlnm.Print_Titles" localSheetId="3">'Отчет за 12 месяцев (2)'!$4:$6</definedName>
    <definedName name="_xlnm.Print_Titles" localSheetId="4">'Отчет за 9 месяцев  2025'!$4:$6</definedName>
    <definedName name="_xlnm.Print_Area" localSheetId="0">Отчет!$A$1:$L$154</definedName>
    <definedName name="_xlnm.Print_Area" localSheetId="3">'Отчет за 12 месяцев (2)'!$A$1:$L$197</definedName>
    <definedName name="_xlnm.Print_Area" localSheetId="4">'Отчет за 9 месяцев  2025'!$A$1:$M$142</definedName>
  </definedNames>
  <calcPr calcId="125725"/>
</workbook>
</file>

<file path=xl/calcChain.xml><?xml version="1.0" encoding="utf-8"?>
<calcChain xmlns="http://schemas.openxmlformats.org/spreadsheetml/2006/main">
  <c r="O29" i="28"/>
  <c r="O38"/>
  <c r="O24" l="1"/>
  <c r="O45" l="1"/>
  <c r="O42"/>
  <c r="O33"/>
  <c r="O30"/>
  <c r="O35"/>
  <c r="O39"/>
  <c r="O25"/>
  <c r="P18" l="1"/>
  <c r="O51" l="1"/>
  <c r="O41"/>
  <c r="O37"/>
  <c r="O40"/>
  <c r="O32"/>
  <c r="O28"/>
  <c r="O27"/>
  <c r="O23"/>
  <c r="O22"/>
  <c r="O21"/>
  <c r="O20"/>
  <c r="O18"/>
  <c r="O47"/>
  <c r="O48"/>
  <c r="O50"/>
  <c r="O49"/>
  <c r="P47" l="1"/>
  <c r="O89" l="1"/>
  <c r="P88"/>
  <c r="O90"/>
  <c r="O91"/>
  <c r="O86"/>
  <c r="P92"/>
  <c r="O96"/>
  <c r="O92" l="1"/>
  <c r="O115"/>
  <c r="P113"/>
  <c r="O113"/>
  <c r="O122" l="1"/>
  <c r="O97"/>
  <c r="P97" s="1"/>
  <c r="O100"/>
  <c r="O8"/>
  <c r="P7" s="1"/>
  <c r="O12"/>
  <c r="O14"/>
  <c r="O15"/>
  <c r="O65"/>
  <c r="O64"/>
  <c r="O58"/>
  <c r="O60"/>
  <c r="O69"/>
  <c r="P70"/>
  <c r="O67"/>
  <c r="O66"/>
  <c r="O57"/>
  <c r="O55"/>
  <c r="O54"/>
  <c r="O75"/>
  <c r="O74"/>
  <c r="O72"/>
  <c r="O70"/>
  <c r="P57" l="1"/>
  <c r="P54"/>
  <c r="O71"/>
  <c r="O73"/>
  <c r="O77" l="1"/>
  <c r="O76"/>
  <c r="O52"/>
  <c r="O84" l="1"/>
  <c r="P78" s="1"/>
  <c r="O82"/>
  <c r="O78"/>
  <c r="O81"/>
  <c r="O79"/>
  <c r="O107"/>
  <c r="Q125"/>
  <c r="O125"/>
  <c r="O128"/>
  <c r="O126"/>
  <c r="O129"/>
  <c r="O16"/>
  <c r="O111"/>
  <c r="O110"/>
  <c r="O109"/>
  <c r="C108"/>
  <c r="P125" l="1"/>
  <c r="P109"/>
  <c r="O26"/>
  <c r="O19"/>
  <c r="O62" l="1"/>
  <c r="O61"/>
  <c r="O68"/>
  <c r="O80"/>
  <c r="O127" l="1"/>
  <c r="G85" l="1"/>
  <c r="C124"/>
  <c r="P74" l="1"/>
  <c r="Q25" l="1"/>
  <c r="P103" l="1"/>
  <c r="Q82" l="1"/>
  <c r="J130" l="1"/>
  <c r="F130"/>
  <c r="M129"/>
  <c r="J129"/>
  <c r="F129"/>
  <c r="M125"/>
  <c r="J125"/>
  <c r="F125"/>
  <c r="I124"/>
  <c r="H124"/>
  <c r="G124"/>
  <c r="E124"/>
  <c r="D124"/>
  <c r="P122"/>
  <c r="M122"/>
  <c r="N122" s="1"/>
  <c r="J122"/>
  <c r="F122"/>
  <c r="J121"/>
  <c r="F121"/>
  <c r="M115"/>
  <c r="M113"/>
  <c r="J113"/>
  <c r="F113"/>
  <c r="J112"/>
  <c r="P112" s="1"/>
  <c r="F112"/>
  <c r="M109"/>
  <c r="N109" s="1"/>
  <c r="J109"/>
  <c r="Q109" s="1"/>
  <c r="F109"/>
  <c r="I108"/>
  <c r="H108"/>
  <c r="G108"/>
  <c r="E108"/>
  <c r="D108"/>
  <c r="M107"/>
  <c r="J107"/>
  <c r="P107" s="1"/>
  <c r="F107"/>
  <c r="J106"/>
  <c r="F106"/>
  <c r="J105"/>
  <c r="F105"/>
  <c r="J104"/>
  <c r="F104"/>
  <c r="N103"/>
  <c r="J103"/>
  <c r="F103"/>
  <c r="I102"/>
  <c r="H102"/>
  <c r="G102"/>
  <c r="E102"/>
  <c r="D102"/>
  <c r="C102"/>
  <c r="M101"/>
  <c r="J101"/>
  <c r="F101"/>
  <c r="M100"/>
  <c r="M99"/>
  <c r="M97"/>
  <c r="J97"/>
  <c r="F97"/>
  <c r="M92"/>
  <c r="N92" s="1"/>
  <c r="J92"/>
  <c r="F92"/>
  <c r="M91"/>
  <c r="M88"/>
  <c r="J88"/>
  <c r="F88"/>
  <c r="P86"/>
  <c r="M86"/>
  <c r="N86" s="1"/>
  <c r="J86"/>
  <c r="F86"/>
  <c r="I85"/>
  <c r="H85"/>
  <c r="E85"/>
  <c r="D85"/>
  <c r="C85"/>
  <c r="M82"/>
  <c r="M79"/>
  <c r="M78"/>
  <c r="J78"/>
  <c r="F78"/>
  <c r="M77"/>
  <c r="R76"/>
  <c r="P76"/>
  <c r="M76"/>
  <c r="J76"/>
  <c r="F76"/>
  <c r="M75"/>
  <c r="M74"/>
  <c r="J74"/>
  <c r="F74"/>
  <c r="M73"/>
  <c r="M72"/>
  <c r="J70"/>
  <c r="F70"/>
  <c r="M65"/>
  <c r="M64"/>
  <c r="M62"/>
  <c r="M58"/>
  <c r="M57"/>
  <c r="J57"/>
  <c r="F57"/>
  <c r="M55"/>
  <c r="M54"/>
  <c r="J54"/>
  <c r="F54"/>
  <c r="I53"/>
  <c r="H53"/>
  <c r="G53"/>
  <c r="E53"/>
  <c r="D53"/>
  <c r="C53"/>
  <c r="M52"/>
  <c r="J52"/>
  <c r="Q52" s="1"/>
  <c r="F52"/>
  <c r="M51"/>
  <c r="J51"/>
  <c r="F51"/>
  <c r="M49"/>
  <c r="M47"/>
  <c r="J47"/>
  <c r="Q47" s="1"/>
  <c r="F47"/>
  <c r="M39"/>
  <c r="M38"/>
  <c r="M37"/>
  <c r="M35"/>
  <c r="M33"/>
  <c r="M30"/>
  <c r="M25"/>
  <c r="M23"/>
  <c r="M21"/>
  <c r="M20"/>
  <c r="M18"/>
  <c r="J18"/>
  <c r="Q18" s="1"/>
  <c r="F18"/>
  <c r="I17"/>
  <c r="H17"/>
  <c r="G17"/>
  <c r="E17"/>
  <c r="D17"/>
  <c r="C17"/>
  <c r="J16"/>
  <c r="F16"/>
  <c r="M14"/>
  <c r="M12"/>
  <c r="M8"/>
  <c r="M7"/>
  <c r="F7"/>
  <c r="K106" l="1"/>
  <c r="N124"/>
  <c r="N76"/>
  <c r="N88"/>
  <c r="N47"/>
  <c r="K105"/>
  <c r="K74"/>
  <c r="K97"/>
  <c r="N74"/>
  <c r="Q78"/>
  <c r="N113"/>
  <c r="N70"/>
  <c r="N78"/>
  <c r="K76"/>
  <c r="N97"/>
  <c r="P16"/>
  <c r="K16"/>
  <c r="N57"/>
  <c r="N18"/>
  <c r="N7"/>
  <c r="N54"/>
  <c r="N107"/>
  <c r="K47"/>
  <c r="K122"/>
  <c r="K104"/>
  <c r="K88"/>
  <c r="K70"/>
  <c r="K130"/>
  <c r="F108"/>
  <c r="F102"/>
  <c r="K101"/>
  <c r="E131"/>
  <c r="K18"/>
  <c r="J17"/>
  <c r="Q113"/>
  <c r="Q57"/>
  <c r="K57"/>
  <c r="Q70"/>
  <c r="R70" s="1"/>
  <c r="J102"/>
  <c r="K103"/>
  <c r="Q76"/>
  <c r="K78"/>
  <c r="K107"/>
  <c r="Q86"/>
  <c r="K92"/>
  <c r="I131"/>
  <c r="H131"/>
  <c r="J108"/>
  <c r="K129"/>
  <c r="J124"/>
  <c r="K125"/>
  <c r="K52"/>
  <c r="Q97"/>
  <c r="K121"/>
  <c r="K113"/>
  <c r="K109"/>
  <c r="K112"/>
  <c r="F85"/>
  <c r="F53"/>
  <c r="K54"/>
  <c r="D131"/>
  <c r="C131"/>
  <c r="Q92"/>
  <c r="F17"/>
  <c r="Q74"/>
  <c r="Q88"/>
  <c r="K86"/>
  <c r="F124"/>
  <c r="J53"/>
  <c r="K51"/>
  <c r="Q54"/>
  <c r="J85"/>
  <c r="Q122"/>
  <c r="R78" l="1"/>
  <c r="K102"/>
  <c r="K108"/>
  <c r="K17"/>
  <c r="Q103"/>
  <c r="K124"/>
  <c r="K85"/>
  <c r="K53"/>
  <c r="F13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  <c r="J131" i="28"/>
  <c r="J7"/>
  <c r="K7" s="1"/>
  <c r="G131"/>
  <c r="K131" l="1"/>
</calcChain>
</file>

<file path=xl/sharedStrings.xml><?xml version="1.0" encoding="utf-8"?>
<sst xmlns="http://schemas.openxmlformats.org/spreadsheetml/2006/main" count="671" uniqueCount="476">
  <si>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</si>
  <si>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</si>
  <si>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</si>
  <si>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</si>
  <si>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</si>
  <si>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</si>
  <si>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</si>
  <si>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</si>
  <si>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</si>
  <si>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</si>
  <si>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</si>
  <si>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</si>
  <si>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</si>
  <si>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</si>
  <si>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</si>
  <si>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</si>
  <si>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</si>
  <si>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</si>
  <si>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</si>
  <si>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</si>
  <si>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</si>
  <si>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</si>
  <si>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</si>
  <si>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</si>
  <si>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</si>
  <si>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</si>
  <si>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</si>
  <si>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</si>
  <si>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</si>
  <si>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</si>
  <si>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</si>
  <si>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</si>
  <si>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</si>
  <si>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</si>
  <si>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</si>
  <si>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</si>
  <si>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</si>
  <si>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</si>
  <si>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</si>
  <si>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</si>
  <si>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</si>
  <si>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</si>
  <si>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</si>
  <si>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</si>
  <si>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</si>
  <si>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</si>
  <si>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</si>
  <si>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</si>
  <si>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</si>
  <si>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</si>
  <si>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</si>
  <si>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</si>
  <si>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</si>
  <si>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</si>
  <si>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</si>
  <si>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</si>
  <si>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</si>
  <si>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</si>
  <si>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</si>
  <si>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</si>
  <si>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</si>
  <si>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</si>
  <si>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</si>
  <si>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</si>
  <si>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</si>
  <si>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</si>
  <si>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</si>
  <si>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</si>
  <si>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</si>
  <si>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</si>
  <si>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</si>
  <si>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</si>
  <si>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</si>
  <si>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</si>
  <si>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</si>
  <si>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</si>
  <si>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</si>
  <si>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</si>
  <si>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</si>
  <si>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</si>
  <si>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</si>
  <si>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</si>
  <si>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</si>
  <si>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</si>
  <si>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</si>
  <si>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</si>
  <si>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</si>
  <si>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</si>
  <si>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</si>
  <si>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</si>
  <si>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</si>
  <si>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</si>
  <si>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</si>
  <si>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</si>
  <si>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</si>
  <si>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</si>
  <si>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</si>
  <si>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</si>
  <si>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</si>
  <si>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</si>
  <si>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</si>
  <si>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</si>
  <si>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</si>
  <si>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</si>
  <si>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</si>
  <si>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</si>
  <si>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</si>
  <si>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</si>
  <si>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</si>
  <si>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</si>
  <si>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</si>
  <si>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</si>
  <si>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</si>
  <si>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</si>
  <si>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</si>
  <si>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</si>
  <si>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</si>
  <si>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</si>
  <si>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</si>
  <si>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</si>
  <si>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</si>
  <si>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</si>
  <si>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</si>
  <si>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</si>
  <si>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</si>
  <si>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</si>
  <si>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</si>
  <si>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</si>
  <si>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</si>
  <si>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</si>
  <si>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</si>
  <si>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</si>
  <si>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</si>
  <si>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</si>
  <si>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</si>
  <si>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</si>
  <si>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</si>
  <si>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</si>
  <si>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</si>
  <si>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</si>
  <si>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</si>
  <si>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</si>
  <si>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</si>
  <si>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</si>
  <si>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</si>
  <si>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</si>
  <si>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</si>
  <si>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</si>
  <si>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</si>
  <si>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</si>
  <si>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</si>
  <si>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</si>
  <si>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</si>
  <si>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</si>
  <si>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</si>
  <si>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</si>
  <si>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</si>
  <si>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</si>
  <si>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</si>
  <si>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</si>
  <si>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</si>
  <si>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</si>
  <si>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</si>
  <si>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</si>
  <si>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</si>
  <si>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</si>
  <si>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</si>
  <si>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</si>
  <si>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</si>
  <si>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</si>
  <si>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</si>
  <si>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</si>
  <si>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</si>
  <si>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</si>
  <si>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</si>
  <si>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</si>
  <si>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</si>
  <si>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</si>
  <si>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</si>
  <si>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</si>
  <si>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</si>
  <si>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</si>
  <si>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</si>
  <si>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</si>
  <si>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</si>
  <si>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</si>
  <si>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</si>
  <si>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</si>
  <si>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</si>
  <si>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</si>
  <si>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</si>
  <si>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</si>
  <si>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</si>
  <si>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</si>
  <si>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</si>
  <si>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</si>
  <si>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</si>
  <si>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</si>
  <si>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</si>
  <si>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</si>
  <si>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</si>
  <si>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</si>
  <si>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</si>
  <si>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</si>
  <si>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</si>
  <si>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</si>
  <si>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</si>
  <si>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</si>
  <si>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</si>
  <si>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</si>
  <si>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</si>
  <si>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</si>
  <si>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</si>
  <si>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</si>
  <si>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</si>
  <si>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</si>
  <si>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</si>
  <si>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</si>
  <si>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</si>
  <si>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</si>
  <si>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</si>
  <si>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</si>
  <si>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</si>
  <si>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</si>
  <si>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</si>
  <si>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</si>
  <si>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</si>
  <si>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</si>
  <si>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</si>
  <si>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</si>
  <si>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</si>
  <si>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</si>
  <si>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</si>
  <si>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</si>
  <si>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</si>
  <si>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</si>
  <si>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</si>
  <si>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</si>
  <si>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</si>
  <si>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</si>
  <si>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</si>
  <si>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</si>
  <si>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</si>
  <si>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</si>
  <si>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</si>
  <si>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</si>
  <si>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</si>
  <si>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</si>
  <si>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</si>
  <si>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</si>
  <si>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</si>
  <si>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</si>
  <si>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</si>
  <si>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</si>
  <si>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</si>
  <si>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</si>
  <si>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</si>
  <si>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</si>
  <si>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</si>
  <si>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</si>
  <si>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</si>
  <si>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</si>
  <si>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</si>
  <si>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</si>
  <si>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</si>
  <si>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</si>
  <si>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</si>
  <si>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</si>
  <si>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</si>
  <si>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</si>
  <si>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</si>
  <si>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</si>
  <si>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</si>
  <si>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</si>
  <si>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</si>
  <si>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</si>
  <si>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</si>
  <si>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</si>
  <si>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</si>
  <si>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</si>
  <si>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</si>
  <si>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</si>
  <si>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</si>
  <si>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</si>
  <si>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</si>
  <si>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</si>
  <si>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</si>
  <si>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</si>
  <si>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</si>
  <si>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</si>
  <si>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</si>
  <si>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</si>
  <si>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</si>
  <si>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</si>
  <si>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</si>
  <si>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</si>
  <si>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</si>
  <si>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</si>
  <si>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</si>
  <si>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</si>
  <si>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</si>
  <si>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</si>
  <si>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</si>
  <si>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</si>
  <si>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</si>
  <si>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</si>
  <si>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</si>
  <si>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</si>
  <si>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</si>
  <si>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</si>
  <si>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</si>
  <si>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</si>
  <si>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</si>
  <si>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</si>
  <si>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</si>
  <si>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</si>
  <si>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</si>
  <si>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</si>
  <si>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</si>
  <si>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</si>
  <si>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</si>
  <si>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</si>
  <si>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</si>
  <si>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</si>
  <si>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</si>
  <si>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</si>
  <si>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</si>
  <si>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</si>
  <si>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</si>
  <si>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</si>
  <si>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</si>
  <si>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</si>
  <si>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</si>
  <si>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</si>
  <si>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</si>
  <si>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</si>
  <si>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</si>
  <si>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</si>
  <si>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</si>
  <si>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</si>
  <si>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</si>
  <si>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</si>
  <si>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</si>
  <si>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</si>
  <si>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</si>
  <si>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</si>
  <si>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</si>
  <si>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</si>
  <si>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</si>
  <si>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</si>
  <si>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</si>
  <si>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</si>
  <si>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</si>
  <si>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</si>
  <si>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</si>
  <si>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</si>
  <si>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</si>
  <si>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>управления финансов и экономики администрации Усть-Абаканского района</t>
  </si>
  <si>
    <t>Первый заместитель Главы Администрации Усть-Абаканского муниципального района Республики Хакасия 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</si>
  <si>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r>
      <t xml:space="preserve">3.Обеспечение комплексного развития сельских территорий (строительство (приобретение) жилья, предоставляемого гражданам Российской Федерации, проживающим на сельских территориях, по договору найма жилого помещения(в том числе софинансирование с республиканским бюджетом) - 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(МБ), (РХ), 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Строительство индивидуального жилого дома в с.Усть-Бюрь, ул.Заречная 26</t>
    </r>
  </si>
  <si>
    <r>
      <t xml:space="preserve">Реализация проектов комплексного развития сельских территорий  - 150,0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 xml:space="preserve">1.Формирование современного облика сельских территорий, направленных на создание и развитие инфраструктуры в сельской местности - 150,0 (МБ);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^Выполнение изыскат.работ по микросейсмоустойчивости на строительство водопровода в с.Московское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</si>
  <si>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t xml:space="preserve">Развитие рынка труда (кадровый потенциал) на сельских территориях -  (МБ).                                                       </t>
    </r>
    <r>
      <rPr>
        <b/>
        <i/>
        <sz val="15"/>
        <rFont val="Times New Roman"/>
        <family val="1"/>
        <charset val="204"/>
      </rPr>
      <t xml:space="preserve">Проведение сельскохозяйственных конкурсов, мероприятий - (МБ), из них: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</si>
  <si>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2025 года.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</si>
  <si>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 xml:space="preserve"> «Региональный проект Республики Хакасия «Педагоги и наставники»</t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</si>
  <si>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- 13,0 (РХ)</t>
  </si>
  <si>
    <r>
      <t>Мероприятия в сфере поддержки малого и среднего предпринимательства.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                                                                                                                                                                                </t>
    </r>
  </si>
  <si>
    <r>
      <t xml:space="preserve">1.3. «Поддержка и развитие систем коммунального комплекса в сфере в сфере водоснабжения, водоотведения» - 18332,3 , из них:  17243,6 (РХ), 1088,7 (МБ).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Строительство системы водоснабжение с. Зеленое 3 этап - 16802,0 (РХ),1088,7 (МБ).                                                                                                                                          Строительный контроль за строительством системы водоснабжения в с. Зеленое  3 этап -441,6 (РХ)</t>
    </r>
  </si>
  <si>
    <r>
      <t xml:space="preserve">2. Создание условий для занятий физической культурой и спортом - 58,8 (МБ).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Услуги ледового катка для занятий по хоккею с мячом - 58,8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3.Укрепление материально-технической базы- 100,00 (МБ)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физкультурно-спортивного инвентаря - 100,0</t>
    </r>
  </si>
  <si>
    <r>
      <t xml:space="preserve">2.Капитальный ремонт, в муниципальных учреждениях,  т.ч. разработка ПСД- 68,7 (МБ):                                                                             </t>
    </r>
    <r>
      <rPr>
        <sz val="15"/>
        <rFont val="Times New Roman"/>
        <family val="1"/>
        <charset val="204"/>
      </rPr>
      <t>Проверка сметной документации по объекту "Капитальный ремонт жилого корпуса"</t>
    </r>
  </si>
  <si>
    <r>
      <t xml:space="preserve">3.Мероприятия по организации отдыха, оздоровления и занятости несовершеннолетних -98,0 (МБ)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несовершеннолетних в период летних каникул в свободное от работы время</t>
    </r>
  </si>
  <si>
    <r>
      <t xml:space="preserve">4.Мероприятия по организации отдыха, оздоровления и занятости несовершеннолетних за счет безвозмездной помощи -1226,4 (МБ)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50 несовершеннолетних на средства Фонда Андрея Мельниченко</t>
    </r>
  </si>
  <si>
    <t>Повышение квалиф. в области пожар. безопасности:В-Биджинская СОШ - 2,5, Солнечная СОШ - 10,0 , Усть-Абаканская СОШ - 5,0 , Усть-Бюрская СОШ - 5,0, Чапаевская СОШ - 12,5.</t>
  </si>
  <si>
    <r>
      <t xml:space="preserve">2.Капитальный ремонт в муниципальных учреждениях, в том числе проектно-сметная документация -                      300,0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Проведение обследования, предоставление технического заключения о состоянии здания МБДОУ "ДС "Родничок" - 150,00 ; оценка  тех. состояния,обследование строительных конструкций МБДОУ "ЦРР-ДС "Аленушка" 150,00.</t>
    </r>
  </si>
  <si>
    <t xml:space="preserve"> о реализации муниципальных программ, действующих на территории Усть-Абаканского района Республики Хакасия за 9 месяцев 2025 год.</t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</si>
  <si>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-17 345,3 (РХ):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Погашение кредиторской задолженности на 01.01.2025 субсидии на ремонт автомобильной дороги , расположенной по адресу: Республика Хакасия, Усть-Абаканский район, с. Усть-Бюр, ул. Школьная (2 044,3), аал Доможаков, ул. Механизаторская (1 602,9), с. Вершино-Биджа, ул. М.Цукановой (3 738,8), с.Вершино-Биджа, ул. Полевая (1 675,9), с.Вершино-Биджа, ул. Школьная (5 237,3), аал Чарков, ул. Степная (3 046,1).</t>
    </r>
  </si>
  <si>
    <r>
      <t xml:space="preserve">3.Иные межбюджетные трансферты на содержание, капитальный ремонт, ремонт и строительство дорог общего пользования, в том числе разработка проектно-сметной документации - 3658,5 (МБ):                                                                                              </t>
    </r>
    <r>
      <rPr>
        <sz val="15"/>
        <rFont val="Times New Roman"/>
        <family val="1"/>
        <charset val="204"/>
      </rPr>
      <t>1. Вершино-Биджинский сельсовет -74,93 (содержание автомобильных дорог);                                                                                             2. Московский сельсовет - 107, 0 (содержание автомобильных дорог);                                                                                                                  3. Доможаковский сельсовет - 109, 9 (содержание автомобильных дорог);                                                                                                        4. Усть-Бюрский сельсовет - 1 813,69 (содержание автомобильных дорог 58,22; ремонт автомоб. дорог 1 543,74;                                 с. Усть-Бюр пер. Горный, проезд Ферменский, улица Ферма №4, улица Трактовая, улица Титова);  ямочный ремонт -  211,73.                                                                                                                                                                                                                                         5. Чарковский сельсовет - 376, 11 (содержание автомобильных дорог-12,14, Обустройство пешеходного перехода в аале Чарков по ул. Ленина - 363,97);                                                                                                                                           6. Калининский сельсовет - 1 176, 87 (ремонт проезда к детскому саду по ул. Советская в д. Чапаево - 1 176,87).</t>
    </r>
  </si>
  <si>
    <t xml:space="preserve">  За 9 месяцев 2025 оплачено 3 свидетельства  о праве на получение социальной выплаты на приобретение жилого помещения или создание объекта индивидуального строительства.</t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</si>
  <si>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- 11839,4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- 8577,9; социальные пособия - 6,6 ; начисления на выплаты по оплате труда - 2318,7 ; услуги связи - 84,5 ; коммунальные услуги-165,0 ; услуги по содержанию имущества - 120,3 ; прочие работы, услуги - 328,8; увеличение стоимости мат.запасов - 110,0 ; увеличение стоимости мягкого инвентаря - 1,2 ; прочие налоги и сборы -2,4 ; ГСМ - 117,0, увеличение стоимости основных средств - 7,0.</t>
    </r>
  </si>
  <si>
    <r>
      <t>1.Мероприятия по обеспечению сохранности существующей сети автомобильных дорог общего пользования местного значения - 6730,9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1. Выполнение работ по содержанию автомобильных дорог общего пользования местного значения, расположенных вне границ населенных пунктов в границах Усть-Абаканского района РХ -1 974,6.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Ремонт автомобильной дороги ул. Механизаторская аал Доможаков Усть-Абаканского района Республики Хакасия - 769,6, ремонт автомобильной дороги с. Зеленое - д. Заря Усть-Абаканского муниципального района Республики Хакасия на участке км 2+940 - км 3+900 -  3 889,8, установка дорожных знаков -96,9.</t>
    </r>
  </si>
  <si>
    <r>
      <t>2.</t>
    </r>
    <r>
      <rPr>
        <b/>
        <sz val="15"/>
        <rFont val="Times New Roman"/>
        <family val="1"/>
        <charset val="204"/>
      </rPr>
      <t xml:space="preserve">«Региональный проект «Модернизация коммунальной инфраструктуры»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2.1 «Реализация мероприятий по модернизации коммунальной инфраструктуры (в том числе софинансирование с республиканским </t>
    </r>
    <r>
      <rPr>
        <b/>
        <sz val="15"/>
        <rFont val="Times New Roman"/>
        <family val="1"/>
        <charset val="204"/>
      </rPr>
      <t xml:space="preserve">бюджетом) » - 1254,5, из них 12,6 (МБ),12,4 (РХ), 1229,5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системы теплоснабжения села Солнечное Усть-Абаканского района -1254,5.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</si>
  <si>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- 439,5 (МБ):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^Строительный контроль за строительством системы водоснабжения в с. Зеленое 3 этап - 36,5;                                                                                                                                                                     ^Строительство системы водоснабжение с. Зеленое 3 этап - 343,0;                                                                                                                       ^Технический план при строительстве системы водоснабжения с.Зеленое - 60,0.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</si>
  <si>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- 2066,4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- 1223,7; 2. Начисления на выплаты по оплате труда (ст. 213) - 312,3; 3. Коммунальные услуги (ст.223) - 96,5; 4. Прочие работы, услуги (тех. обслуживание системы видеонаблюдения) (ст. 226) - 42,8;                        5. Увеличение стоимости материальных запасов (ГСМ, дрова, уголь, канц.товары, хоз.товары) (ст.340) - 36,1;                                         6. Прочие расходы (ст.290) - 28,7; 7.Страхование - 6,4; Остаток на счете -319,9.                                                                                                                                                                                                                      </t>
    </r>
  </si>
  <si>
    <t xml:space="preserve">17. Услуги по организации питания - 11,2; 18. Фестиваль ВФСК "ГТО" среди воспитанников СШ, посвящ. Дню памяти жертв терроризма 3 сен. 2025 и Спартакиада ВФСК "ГТО" среди труд.кол-ов У-А р-на, посвящ. Юбилею Победу в ВОВ 17 сен. 2025 - 10,54 (медали, кубки, фотобумага); 19. Спортивно-массовые мероприятия "Открытие спортивного сезона - 2025" 13 сен. 2025 и по мини-футболу 15, 22, 29 сен. 2025 - 26,84 (медали, кубки, питание участников, фотобумага, одн.посуда, сладкие призы); Остаток на счете - 4,51                                                                             </t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</si>
  <si>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- 27465,74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— 20178,57; 2. Пособия по временной нетрудоспособности (ст. 266) - 43,41; 3. Начисления на выплаты по оплате труда (ст.213) — 5763,19; 4. Услуги связи (ст.221) — 21,97; 5. Коммунальные услуги (ст.223) — 580,58; 6. Услуги по содержанию имущества (ст.225) — 398,36; 7. Прочие работы, услуги (ст.226) — 77,88 (предрейсовый осмотр - 9,72, размещение инф-ии на сайте -11,2, механик - 16,74, усл. охраны - 4,5, доступ к инф.базе-4,2, услуга по переносу данных сайта-2,0, монтаж абон.терминала-9,2, эксп.-тех.обсл. уст. видеонаблюдения, системы монит.-16,2, разм-е сведений о налиции лицензии-1,94, услуги ГЛОНАСС - 2,18); 7. Страхование ТС (ст.227) - 4,71; 8. Увеличение стоимости основных средств (ст.310) - 35,28; 9. Увеличение стоимости прочих оборотных запасов (материалов) (ст.340) - 12,44; 10. Прочие расходы (ст.290) — 66,23; 10. Остаток на счете - 283,12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</si>
  <si>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4.Обеспечение деятельности подведомственных учреждений МАУ "Универсальный спортивный зал» -                          18 301,46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- 10402,9; 2. Пособия по временной нетрудоспособности - 2,5; 5. Начисления на выплаты по оплате труда (ст.213) — 2903,1; 6. Услуги связи (ст.221) - 48,54; 7. Коммунальные услуги (ст.223) - 1238,31; 8. Услуги по содержанию имущества (ст.225) - 453,93; 9. Прочие работы, услуги (ст.226) — 116,05 ( повыш. квалиф.-30,27, усл. по ТО видеонабл. и сист.управ.конт.дост.-50,0, экстр. выезд группы задержания-21,63, услуги ТО ОС-6,15, разр.инф. на страницах интернет-сайта-8,0); 10. Увеличение стоимости основных средств (ст.310) - 3,9; 12. Увеличение стоимости прочих оборотных запасов (материалов) (ст.340) - 115,05; 13. Прочие расходы (ст.290) — 2536,32; 14. Остаток на счете - 480,86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</si>
  <si>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- 387,61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СШ. 1. Открытый тур-р п/хоккею с мячом Кубок Главы Усть-Абаканского р-на 1-2 фев. 2025 - 48,15 (медали, кубки, призы, фотобумага, торт, сертификат на пребр. инвентаря); 2. Первенство СШ п/футзалу среди мальчиков, юношей с 24 по 28 марта 2025 - 19,83 (медали, кубки, призы, фотобумага); 3. Перв-во Усть-Аб. СШ п/волейболу среди девочек 29 марта 2025 - 8,55 (медали, кубки, призы); 4. Открытый тур-р п/футзалу среди девочек, посв.80-летию Победы в ВОВ 12 апр. 2025 - 7,19 (медали, кубки, призы); 5. Командный тур-р Усть-Аб. СШ п/наст. тенису, посв.80-летию Победы в ВОВ 5 апр. 2025 - 3,94 (медали, кубки); 6. Открытый тур-р Усть-Аб. р-на п/рукопашному бою "Кубок Гагарина" 12-13 апр. 2025 - 3,97 (кубки); 7. Открытый тур-р п/футзалу среди девочек, посв.80-летию Победы в ВОВ 12 апр. 2025 - 7,6 (баннер); 8. Празднование 80-летия Победы в ВОВ - 39,0 (футболки с логотипом); 9. Открытое лично-командное перв-во п/русским шашкам среди дошкольников, посв.80-летию Победы в ВОВ 16 апр. 2025 - 5,36 (медали, кубки, фотобумага); 10. Спартакиада ВФСК "ГТО" среди воспитанников ДОУ У-А р-на - 5,52 (медали, кубки); 11. Прозднование 80-летней годовщины Победы в ВОВ - 27,0 (баннер, гирлянда из шаров, конст-ия из пенопласта, медали); 12. Тур-р У-А СШ п/волейболу среди девочек "Кубок Победы" - 3,6 (кубки, призы, фотобумага); 13. Открытый тур-р п/хоккею с мячом на Кубок Главы Усть-Абаканского р-на - 4,0 (однор. посуда); 14.Спорт. мер-ие "Футбольный марафон Победы. Битва поколений" - 2,91 (медали, фотобумага);                                                                        15. Откр. спорт. фестиваль хак. нар. игр и сост-й "Ынархас Ойыннары"(Игры Дружбы) - 30,19 (медали);                                                                             16. Перв-во У-А р-на п/рус. лапте в честь Дня России - 2,25 (медали);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</si>
  <si>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- 108,4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СШ. 1. Уч-ие в краевом тур-ре п/баскетболу "Баскетбол на Енисее" среди девушек до 13 лет с 5 по 10 янв. 2025 - 6,8 (проезд, суточные); 2. Уч-ие в перв-ве РХ п/боксу среди юношей с 23 по 26 янв. 2025 г. Абаза - 8,2 (проезд, проживание, суточные); 3. Уч-ие в межрег. сорев-ях "Лига Сибири" п/баскетболу дивизион В.Курилова с 1 по 5 фев. 2025 г. Зеленогорск - 5,97 (проезд, суточные); 4. Уч-ие в Всероссийском тур-ре "SIBERIA OPEN-2025" п/косики карате-до с 14 по 19 фев. 2025 г. Барнаул - 9,6 (проезд, проживание, суточные); 5. Уч-ие в сорев-ях п/боксу - 5,32 (проезд, проживание, суточные); 6. Уч-ие в межрег. сорев-ях "Лига Сибири" п/баскетболу среди юношей с 13 по 18 фев. 2025 г. Ачинск - 10,97 (проезд, проживание, суточные); 7. Уч-ие в межрегион. сорев-ях "Лига Сибири" п/баскетболу дивизион В.Курилова с 16 по 21 апр. 2025 в г. Ачинск - 13,58 (проезд, суточные); 8. Уч-ие в тур-ре п/хоккею с мячом, посв. закрытию зимнего сезона 2024/2025 с 16 по 19 апр. 2025 в г. Кемерово - 12,95 (проживание, суточные); 9. Уч-ие в тур-ре п/хоккею с мячом "Весенний лед на Енисее" с 24 по 28 апр. 2025 в г. Красноярск - 8,5 (проживание, суточные); 10. Перевозка пассажиров - 0,48; 11. Междунар. тур-р "ASIA CUP-2025" п/косики каратэ-до с 15 до 20 мая 2025г. г. Барнаул - 10,44 (проезд, проживание, суточные); 11. Всерос. Футбольный турнир Локобол-2025-РЖД среди девочек с 16 по 19 июня 2025 тренера-препод. Линдт Г.В. и Екимков Г.В. - 15,47 (проезд, суточные);  12. Остаток на счете - 0,12                                                                                                                                                                                    </t>
    </r>
  </si>
  <si>
    <t xml:space="preserve">УСЗ. 1. Фестиваль наст. и спорт. игр среди лиц с ОВЗ и граждан стар. поколения в МО Домож. сельсовет - 3,5 (медали); 2. Отк. тур-р п/футзалу среди муж.команд, посв. памяти воинов-земляков, погибших в ходе СВО - 14,92 (медали, кубки, призы); 3. Тур-р п/дартцу среди орг-ий Усть-Абаканского р-на, посв.80-летию Победы в ВОВ - 12,22 (медали, статуэтки); 4. Тур-р п/футзалу - 16,91 (медали, кубки, призы); 5. Тур-р п/керлингу - 5,55; 6. Тур-р п/греко-римской борьбе - 5,1; 7. Откр. спартакиада Райковского сельсовета У-А р-на РХ п/конному спорту, посв.80-летию Победы в ВОВ - 9,54 (инф. баннер); 8. Прозднование 80-летней годовщины Победы в ВОВ - 20,0 (баннер, переносная стойка); 9. Тур-р п/футболу, посвящ. И.Е. Иванову - 11,42 (медали, кубки, призы); 10. День российского предпринимателя - 9,73 (медали, кубки, призы); 11. Соревнования, посвящ. Междун. Дню семьи - 1,56 (медали, кубки, призы); 12. Турнир п/мини-футболусреди дворовых команд, посвящ. Дню российского флага - 5,0 (призы, медали) </t>
  </si>
  <si>
    <r>
      <rPr>
        <b/>
        <sz val="15"/>
        <rFont val="Times New Roman"/>
        <family val="1"/>
        <charset val="204"/>
      </rPr>
      <t xml:space="preserve">Укрепление безопасности и общественного порядка в Усть-Абаканском районе - 1,5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- 1,5.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</si>
  <si>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повышению безопасности дорожного движения - 1,7 (МБ), из них: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профилактических мероприятий- 1,7.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</si>
  <si>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безнадзорности и правонарушений несовершеннолетних - 40,0 (МБ). </t>
    </r>
    <r>
      <rPr>
        <sz val="15"/>
        <rFont val="Times New Roman"/>
        <family val="1"/>
        <charset val="204"/>
      </rPr>
      <t xml:space="preserve">                                                Организация летнего отдыха, трудоустройство в летний период несовершеннолетних, состоящих на профилактическом учете в КДН и ЗП.  </t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</si>
  <si>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- 2,7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</si>
  <si>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rPr>
        <b/>
        <sz val="15"/>
        <rFont val="Times New Roman"/>
        <family val="1"/>
        <charset val="204"/>
      </rPr>
      <t xml:space="preserve">Мероприятия по профилактике злоупотребления наркотиками и их незаконного оборота - 3,0 (МБ), из них: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(буклеты,баннеры);                                                                                                                     </t>
    </r>
  </si>
  <si>
    <r>
      <t xml:space="preserve">2.Осуществление органами местного самоуправления государственных полномочий в области охраны труда - 496,1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Заработная плата с начислениями- 496,1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</si>
  <si>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- 340,17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1. Всероссийская акция "Знамя победы" - 7,08(ткань); 2. Акция "Знамя Победы" - 0,72(ткань); 3. Акция "Свеча Памяти" - 63,89 (свечи, георгиевская лента, баннер фот-зона); 4. Акция "Подвиги отцов крылья сыновей" - 25,0; 5. Районный конкурс "Молодежная инициатива - 52,77; 6. Услуги по озеленению территории - 54,98; 7. Районная акция "Безымянных могил не бывает" - 24,35; 8. Мероприятие "Загадка человека Х" - 12,15; 9. Мастер-класс "Юбилей аал. Доможаков" - 4,2; 10. Игр. программа "Город засыпает" - 1,36; 11. Мастер-класс ко Дню Государственного флага РФ "Российский флаг зажигает сердца" - 5,0; 12. Районная акция ко Дню государственного флага РФ - "Триколор нашей родины" - 2,7; 13. Районный марафон волонтеров "Чистые сердцем" - 31,0; 14. Остаток на счете - 54,97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</si>
  <si>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- 1500,83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1. Заработная плата (ст.211) - 1052,66; 2. Начисления на выплаты по оплате труда (ст.213) - 296,92; 3. Услуги связи (ст.221) - 16,44; 4. Прочие работы, услуги (ст.226) - 13,9 (сопровождение сайта-9,9, услуги нотариуса-4,0); 5. Остаток на счете - 120,91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</si>
  <si>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- 163,07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ДК: 1. Республиканский национальный праздник "Чыл Пазы" - 20,07                                                                   РДК: 1. Республиканский национальный праздник "Чыл Пазы" - 45,41; 2. Краевой смотр-конкурс исполнителей народной песни "Сибирская глубинка" г. Красноярск ансамбль "Добро" - 3,5; 3. Всероссийский фольклорный фестиваль конкурса ""Казачий круг" - 23,5; 4. Республиканский праздник "Уртун Тойы" -58,94; 5. Районный конкурс среди девочек Абахай-2025" - 8,0; 6. Остаток на счете - 3,65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</si>
  <si>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Поддержка одаренных детей и молодежи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- 1330,50 (МБ)                                                      </t>
    </r>
    <r>
      <rPr>
        <sz val="15"/>
        <rFont val="Times New Roman"/>
        <family val="1"/>
        <charset val="204"/>
      </rPr>
      <t>ДК: Республиканский фестиваль "Под Алым парусом Хакасии" - 1329,73; Остаток на счете - 0,77.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</si>
  <si>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- 203,22 (МБ):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ДК: 1. Концерт, посвящ. Дню защитника отечества и 80-ию ВОВ "Солдат, защитник, победитель" - 4,7; 2. Театр. игр. программа "Широкая Масленица" - 20,0; 3. Поздрав. вечер "Первые тюльпаны", посвящ. 8 Марта - 4,95; 4. Районный конкурс "На балу у золушки" - 5,31; 5. Интерактивная игра Брейн-ринг" по истории ВОВ - 4,98; 6. Празднование 80-летней годовщины Победы в ВОВ  - 29,6; 7. Мероприятие "Открытие творческого сезона" - 8,9; 8. Мероприятие посвящ. дню защиты детей "Я держу в ладошках солнце" - 9,5; 9. Концерт "Вместе мы Россия" посв. дню России - 5,0; 10. Торжественный концерт, посвящ. Дню медицинского работника - 0,84; 11. Районный вечер чествования "Вперед к успеху"-14,93; 12. Детская игр.программа "На Ивана, на Купалу"- 4,9; 13. Торжеств. мероприятие, посвящ. Дню военно-морского флота-20,67; 14. Мероприятие "День Чатхана" - 17,05; 15. Остаток на счете - 2,27                                                                                                                                                                                                          РДК: 1. Выставка-конкурс "На страже Родины" - 0,35;  2. Фестиваль, посвящ. Дню работника культуры "Звезда Культуры" - 10,0; 3. Фестиваль патр.песни "О родине, о доблести, о славе" - 8,85; 4. Районная выставка-конкурс "Пасха радость нам несет" - 4,0; 5. Районная выставка-конкурс "Это у нас семейное" - 1,99; 6. Праздник "Этот мир мы дарим детям", посв. дню защиты детей - 4,18; 7. Мероприятия по организации летнего отдыха детей и подростков "Влетаем в лето" - 10,82; 8. Районный онлайн-фотоконкурс "Таинственная Хакасия", посвящ. Дню Республики - 1,89; 9. Районный фотоконкурс "Енисей вчера, сегодня, завтра" - 4,91; 10. Остаток на счете - 2,61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</si>
  <si>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- 5140,4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1. Заработная плата (ст.211) - 4075,12; 2. Начисления на выплаты по оплате труда (ст.213) - 946,82; 3. Услуги связи (ст.221) - 30,36; 4. Услуги по содержанию имущества (ст.225) - 5,3 (заправка картриджа); 5. Прочие работы и услуги (ст.226) - 81,3 (Консультант Плюс - 73,4, сопровождение сайта - 7,9); 6. Увеличение стоимости основных средств (ст. 310) - 1,5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</si>
  <si>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- 21506,8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- 16364,62; 2. Социальные пособия и компенсации персоналу (ст.266) - 15,98;                                  3. Начисления на выплаты по оплате труда (ст.213) - 4374,85; 4. Услуги связи (ст. 221) - 60,28; 5. Услуги по содержанию имущества (ст.225) - 57,98 (заправка картриджа); 6. Прочие работы, услуги (ст.226) - 501,5 (Перенос базы данных из Камин - 304,2; Консультант Плюс - 73,47; адаптация и модификация программ 1С - 112,0; предрейсовый мед. осмотр водителя-11,82); 7. Страхование (ст. 227) - 4,93; 8. Увеличение стоимости лекарст. препаратов и материалов (ст. 341) - 3,5; 9. Увеличение стоимости ГСМ (ст.343) - 117,0; 10. Прочие расходы (ст. 290) - 6,16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</si>
  <si>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- 20274,72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1. Заработная плата (ст.211) — 12582,03; 2. Пособие по врем. нетруд. (266) - 18,93; 3. Начисления на выплаты по оплате труда (ст.213) — 3666,64; 4. Услуги связи (ст.221) — 105,1; 5. Коммунальные услуги (ст.223) — 1528,28; 6. Работы, услуги по содержанию имущества (ст.225) — 519,87; 7. Прочие работы, услуги (ст.226) — 407,47 (услуги механика-70,24, ТО оборудования-31,5, обучение-12,74, предрейс.осмотр водителей-13,26, медосмотр сотрудника-6,31; услуги ТО ОС-163,52, услуги по адаптации программ ККТ-7,3, доступ к приложению ЭВОТОР-2,47, права на исп. программ в сист управ.сайтом-8,0, ЭС "Культура"-34,36, антивир.программа-4,3, Пушкинская карта-20,7, техосмотр автомобилей, запчасти-3,6; база данных "Охрана труда"-18,02; утилизация-6,35; услуги по технич.состоянию комп., организ. техники-4,8); 8. Увеличение стоимости ГСМ (ст.343) — 186,86; 9. Увеличение стоимости строительных материалов (ст.344) - 10,98; 10. Увеличение стоимости прочих оборотных запасов (ст.346) — 297,3 (канц. и хоз.товары); 11. Страхование (ст.227) — 11,41; 12. Увеличение стоимости основных средств (ст.310) — 69,18; 13. Налоги, сборы  прочие (290) - 157,65; 14. Остаток на счете - 713,0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</si>
  <si>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Иные межбюджетные трансферты на мероприятия по поддержке и развитию культуры счет средств безвозмездной помощи  - 329,6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туалета, текущий ремонт спортивного зала в МКУК "Чарковский СДК", за счет средств безвозмездной помощи от АО ЗДК "Золотая звезда"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</si>
  <si>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                    26299,36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1. Заработная плата (ст.211) - 18811,56; 2. Соц. пособия (Б. листы) (ст. 266) - 31,9; 3. Начисления на выплаты по оплате труда (ст.213) - 5357,75; 4. Услуги связи (ст.221) - 581,7; 5. Коммунальные услуги (ст.223) - 760,16; 6. Услуги по содержанию имущества (ст.225) - 132,62; 7. Прочие работы, услуги (ст.226) - 226,49 (услуги по охране-23,4, подписка-9,93, сопровождение сайта-2,9, поставка период. печатных изданий-145,34; услуги по обустройству ограждения-44,92); 8. Увеличение стоимости прочих оборотных запасов (материалов) (ст.346) - 81,95; 9. Увеличение стоимости основных средств (ст.310) - 32,2; 10. Увеличение стоимости ГСМ (ст.343) - 34,1; 11. Увеличение стоимости строительных материалов (ст.344) - 27,76; 12. Прочие расходы (ст.290) - 33,4; 13. Остаток на счете - 187,77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</si>
  <si>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архивного дела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- 56,12 (МБ),</t>
    </r>
    <r>
      <rPr>
        <sz val="15"/>
        <rFont val="Times New Roman"/>
        <family val="1"/>
        <charset val="204"/>
      </rPr>
      <t xml:space="preserve"> из них:                                                              1. Изготовление фотографий на бумажном носителе - 10,0; 2. Приобретение металлических архивных шкафов-стеллажей - 46,12</t>
    </r>
  </si>
  <si>
    <t>3.Обеспечение услугами связи в части предоставления широкополосного доступа к сети «Интернет» социально значимых объектов муниципальных образований - 89,0 (РХ).</t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</si>
  <si>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- 1204,83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</t>
    </r>
    <r>
      <rPr>
        <sz val="15"/>
        <rFont val="Times New Roman"/>
        <family val="1"/>
        <charset val="204"/>
      </rPr>
      <t xml:space="preserve">  1. Акция "Блокадный хлеб" - 3,25; 2. Квест "За оборону Сталинграда" - 1,14; 3. Квест "1941 Заполярье" - 3,0; 4. Возложение к могиле неизв. солдата - 4,2; 5. Выставка "Герои наших дней" - 49,0; 6. Мастер-класс "Эскадрилья" - 1,6; 7. Интеллект. квиз "День защитника Отечества" - 3,0; 8. Интеллект. квиз "Дамская территория" - 2,68: 9. Мероприятие "Широкая Масленица" - 3,0; 10. Республ. национ. праздник "Чыл Пазы" - 2,03  11. Всероссийский день заботы о памятниках - 5,0; 12. Работа по проведению государственной историко-культурной экспертизы - 90,0; 13. Музейный праздник "История возникновения пасхи" - 2,01; 14. Стеллы с именами участников СВО - 300,0; 15. Мемориальная доска со списком участников ВОВ - 45,0; 16. Празднование 80-летней годовщины Победы в ВОВ - 585,68; 17. Встреча "Горькая правда Чернобыля" с ликвидаторами аварии на ЧАЭС - 2,0; 18. Оформление планшетной фотовыставки "Награды Победы" - 1,91; 19. Мастер-класс "Магнит своими руками" - 2,14; 20. Всероссийский районный квест "Наша Победа" - 2.61; 21. Мероприятие, посвящ. Дню памяти и скорби - 10,0; 22. Акция "Россия в сердце-навсегда", посвящ. Дню России - 2,0; 23. Проведение мероприятий - 21,0; 24. Мероприятие, посвящ. Дню военно-морского флота - 8,5; 25. Мероприятия, посвящ. Дню воздушно-десантных войск - 9,0; 26. Акция ""Мой флаг-моя гордость!" - 2,0; 27. Мероприятие ко Дню солидарности в борьбе с терроризмом "Терроризм-угроза обществу" - 2,0; 28. Мероприятия ко Дню окончания Второй Мировой войны "Сентябрь 1945 года" - 5,0; 29. Акция к 1 сентября - 2,0; 30. Мероприятия к 5-летию Музея - 10,0; 31. Акция ко Дню мира - 2,08; 32. Стенд по охране труда - 11,5; 33. Остаток на счете - 10,5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</si>
  <si>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- 44,3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</si>
  <si>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t>Реализация мер по охране окружающей среды. 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Природоохранные мероприятия -4870,4 (МБ).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Ликвидация свалок на территории Усть-Абаканского района.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</si>
  <si>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- 3070,6 (РХ), из них: </t>
    </r>
    <r>
      <rPr>
        <sz val="15"/>
        <rFont val="Times New Roman"/>
        <family val="1"/>
        <charset val="204"/>
      </rPr>
      <t>заработная плата – 572,4; больничный лист- 3,1; начисления на выплаты по оплате труда – 172,9, сжигание и предрейсовый осмотр - 2296,4, запчасти и масло на автомобиль - 8,9, ремонт забора на яме -16,9</t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</si>
  <si>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бюджетом)- 855,6,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1,4 (РХ), 133,2(ФБ)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(Лобейкина Евгения Александровна) кредиторка 2024г.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</si>
  <si>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858,1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723,5 (МБ), 1,4 (РХ), 133,2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- 2,5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- 2,5.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</si>
  <si>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- 409,9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- 409,9;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</si>
  <si>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4.Обеспечение обслуживания, содержания и распоряжения муниципальной собственностью - 426,40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- 37,75;                                                                                                                                                                    ^Охрана муниципального имущества - 16,8;                                                                                                                                                               ^Транспортный налог - 5,95;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 - 118,7;                                                                                                                                                                                                           ^Оценка муниципального имущества - 63,0;                                                                                                                                         ^Ремонт полов  в квартире - 94,2;                                                                                                                                                                                                     ^Опашка земельных участков - 90,0   </t>
    </r>
    <r>
      <rPr>
        <sz val="15"/>
        <color rgb="FFFF0000"/>
        <rFont val="Times New Roman"/>
        <family val="1"/>
        <charset val="204"/>
      </rPr>
      <t xml:space="preserve">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</si>
  <si>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2.Оценка недвижимости, признание прав и регулирование отношений по государственной и муниципальной собственности - 10,0 (МБ).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Рыночная оценка муниципального имущества-10,0</t>
    </r>
  </si>
  <si>
    <r>
      <rPr>
        <b/>
        <sz val="15"/>
        <rFont val="Times New Roman"/>
        <family val="1"/>
        <charset val="204"/>
      </rPr>
      <t>1.Органы местного самоуправления -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 xml:space="preserve">18563,3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1.Заработная плата - 11663,08 ;                                                                                                                                                                       2.Начисления на выплаты по оплате труда -3492,7;                                                                                                                                                                3.Услуги связи -255,5;                                                                                                                                                                                              4.Работы, услуги по содержанию имущества - 157,2;                                                                                                                                                                 5.Обслуж. и обновление прог.обеспеч.-379,8;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- 474,4 ;                                                                                                                                                                         7.Приобретение материальных запасов- 157,9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расходы- 389,1;                                                                                                                                                                                      9.Командировочные расходы -19,15;                                                                                                                                               10.Медосмотр,прочие услуги- 136,4;                                                                                                                                                                     11.Приобретение баннера - 29,42;                                                                                                                                                                                                                                                                                         12.Налоги - 1413,15.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</si>
  <si>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- 96049,10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- 96049,10                                                             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</si>
  <si>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- 498,10 (РХ).    </t>
  </si>
  <si>
    <t>^Осуществление полномочий по расчету и предоставлению дотаций бюджетам поселений- 172,10 (РХ).</t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</si>
  <si>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- 1193,1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- 509,90 (РХ)      </t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</si>
  <si>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- 7738,9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- 5889,5 ; социальные пособия и компенсации - 9,7; начисления на выплаты по оплате труда – 1610,0; услуги связи – 59,3;  работы,услуги по содержанию имущества -31,3; прочие работы, услуги – 65,6 ;страхование - 4,7; увеличение стоимости материальных запасов – 12,1; ГСМ- 54,3; техосмотр-2,0, налоги - 0,4.</t>
    </r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</si>
  <si>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- 14378,3 (МБ):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</t>
    </r>
    <r>
      <rPr>
        <b/>
        <sz val="15"/>
        <rFont val="Times New Roman"/>
        <family val="1"/>
        <charset val="204"/>
      </rPr>
      <t xml:space="preserve"> - 14378,3 (МБ):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заработная плата – 10421,8; социальные пособия -11,9; начисления на выплаты по оплате труда –2952,9;  услуги связи-120,3; работы, услуги по содержанию имущества – 28,6 ; прочие работы, услуги -748,5 ; увеличение стоимости материальных запасов –78,1 , увеличение стоимости прочих материальных запасов -10,0, страхование -5,4; налоги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</si>
  <si>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5.Финансовое обеспечение расходных обязательств поселений на решение вопросов местного значения  -3925,0 (МБ).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 - 3925,0 (МБ).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</si>
  <si>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 3022,5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задания: из средств МБ-оплата труда - 2667,8; коммунальные услуги - 135,7, прочие расходы - 45,8, приобретение материальных запасов - 173,2.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</si>
  <si>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5.Проведение ремонта загородных детских лагерей, оздоровительных лагерей- 4240,5, из них   3350,0 (РХ),                                890,50 (МБ)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двух жилых корпусов.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</si>
  <si>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1552,60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</si>
  <si>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- 7194,6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6803,8 (МБ),   390,8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- 6711,40;                      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-30,0;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- 22,8;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- 39,6 (2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390,8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</si>
  <si>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4.Обеспечение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(в том числе софинансирование с федеральным бюджетом)- 12332,2 из них: 123,3 (РХ),  12208,9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Приобретение жилых помещений детям-сиротам и детям, оставшимся без попечения родителей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</si>
  <si>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- 33782,1 (РХ), в том числе</t>
    </r>
    <r>
      <rPr>
        <b/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Опекунское пособие на 278 дет.- 21974,0;  вознаграждение приемным семьям 40 чел. - 11808,1                 </t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</si>
  <si>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сертификатом- 43104,8 (РХ).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8 квартир для лиц из числа детей-сирот и оставшихся без попечения родителей, выдано 8 сертификатов на приобретение жилья.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</si>
  <si>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- 7789,9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 - 6 838,0; услуги связи-314,4, коммунальные услуги - 57,0, услуги по содержанию имущества-73,4, прочие услуги-118,7, страховка - 6,0 ; приобретение мат.запасов- 118,8, приобретение основных средств - 263,6.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</si>
  <si>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- 212,05 (МБ)</t>
    </r>
    <r>
      <rPr>
        <sz val="15"/>
        <rFont val="Times New Roman"/>
        <family val="1"/>
        <charset val="204"/>
      </rPr>
      <t xml:space="preserve">, из них:                                                  Чемпионат прикладного искусства - 42,4,игра "Зарничка" для дошкольников (награждение) 5,0, участие в г. Сочи "Я-исследователь" - 12,4, денежное вознаграждение выпускникам - 80,0, организация выпускного (дипломы, сертификаты подарочные, цветы) - 72,25.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</si>
  <si>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- 3907,92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Субсидии на выполнения муниципального задания  из средств МБ- оплата труда- 3718,73, коммунальные услуги -87,62, услуги по сод.имущества -101,57.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</si>
  <si>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2.Создание условия для обеспечения современного качества дополнительного образования- 37,9 (МБ)                                                     </t>
    </r>
    <r>
      <rPr>
        <sz val="15"/>
        <rFont val="Times New Roman"/>
        <family val="1"/>
        <charset val="204"/>
      </rPr>
      <t>Испытание качества огнезащитной обработки деревянных конструкций кровли ЦДО - 4,0 ; повышение квалиф. в области пожар. безопасности - 5,0, монтаж видеонаблюдения - 28,9.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</si>
  <si>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 13701,83 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Субсидии на выполнения муниципального задания: из средств МБ- оплата труда-13 253,5, услуги связи-48,25, коммунальные услуги -226,5, услуги по сод.имущества - 85,01, прочие услуги-33,57, прочие расходы-2,23, приобретение мат.запасов-52,77.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</si>
  <si>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- 50784,91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 оплата труда - 35 823,2,  услуги связи - 118,5, транспортные услуги - 168,2, коммунальные услуги - 8 944,0, услуги по сод.имущества - 1 783,0, прочие услуги - 624,0, прочие расходы - 2 121,7 , приобретение основных средств - 84,5, приобретение мат.запасов - 1 117,81.</t>
    </r>
  </si>
  <si>
    <r>
      <rPr>
        <b/>
        <i/>
        <sz val="15"/>
        <rFont val="Times New Roman"/>
        <family val="1"/>
        <charset val="204"/>
      </rPr>
      <t xml:space="preserve">3.Мероприятия по развитию дошкольного образования - 434,32 (МБ),в том числе: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Испытание пожарных кранов: д/с Калинка - 2,7, д/с Радуга - 4,8, д/с Рябинушка - 4,2 ; испытание качества огнезащитной обработки деревянных конструкций кровли : д/с Рябинушка - 7,8; замена трансформаторов тока, светильников д/с Солнышко - 29,13 ; монтаж системы видеонаблюдения д/с Радуга - 49,47 ;  повышение квалиф. в области пожар. безопасности: д/с Родничок - 2,5, д/с Рябинушка - 2,5, д/с Ласточка - 2,5; Поставка огнетушителей МБДОУ "ДС "Аленушка" - 0,95 ; ремонт котла  д/с Калинка - 175,6 ; аварийно-восстановительный ремонт кровли д/с Ласточка - 152,17.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</si>
  <si>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- 92060,81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труда-89 974,7, услуги связи-100,5, прочие услуги- 738,01, приобретение мат.запасов- 1 247,6.</t>
    </r>
  </si>
  <si>
    <r>
      <t xml:space="preserve">5.Модернизация региональных систем дошкольного образования (софинансирование)- 51,9, из них 1,04 (МБ) , 50,86 (РХ)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Монтаж системы наружного освещения : д/с Солнышко  (кредиторская задолженность 2024 г) (софинансирование)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</si>
  <si>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организации)-119802,6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 - оплата труда- 50 431,6, услуги связи-156,2, транспортные услуги- 1 913,7, коммунальные услуги-37 783,0, аренда-192,6 ,услуги по сод.имущества- 7 512,0 , прочие услуги-3 570,1 , страхование - 207,3 , прочие расходы-6 963,3, приобретение основных средств-197,6, приобретение мат.запасов-10 875,2.</t>
    </r>
  </si>
  <si>
    <t>Поставка насоса Весенненская СОШ - 148,2 ; Поставка огнетушителей: Доможаковская СОШ - 9,9 , ОШИ - 5,7, Красноозерная ООШ - 7,6; Поставка веб.камер для ГИА Усть-Абаканская СОШ - 12,0 ; поставка котла Весенненская СОШ - 565,0; приобретение мебели В-Биджинская СОШ - 125,0.</t>
  </si>
  <si>
    <r>
      <t xml:space="preserve">6.Реализация мероприятий по развитию общеобразовательных организаций- 4152,8 (РХ)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кровли Сапоговская СОШ - 1 871,9;  кап.ремонт-замена окон Сапоговская СОШ - 841,5, монтаж видеонаблюдения: Усть-Абаканская СОШ - 965,5 ,  Чапаевская СОШ - 181,7,  монтаж наружного освещени Калининская СОШ - 292,2.</t>
    </r>
  </si>
  <si>
    <r>
      <t xml:space="preserve">8.Укрепление материально технической базы кабинетов хакасского языка в муниципальных общеобразовательных организациях - 20,0 (РХ).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оборудования для кабинета хакасского языка Чарковская СОШИ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</si>
  <si>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- 8371,75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>их них: оплата труда- 7762,23,  услуги связи-54,79, услуги по сод.имущества- 14,85, прочие услуги- 345,1, приобретение основных средств- 3,6, приобретение мат.запасов-69,74, прочие расходы - 121,44.</t>
    </r>
  </si>
  <si>
    <r>
      <t>4.Обеспечение деятельности подведомственных учреждений (Муниципальное казенное и учреждение "Центр психолого-педагогической, медицинской и социальной помошщи "ГРАНИЦ.НЕТ")- 622,64 (МБ):</t>
    </r>
    <r>
      <rPr>
        <sz val="15"/>
        <rFont val="Times New Roman"/>
        <family val="1"/>
        <charset val="204"/>
      </rPr>
      <t>оплата труда-552,9, прочие услуги-25,72, ,приобретение основных средств- 33,7, приобретение мат.запасов- 10,32.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</si>
  <si>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- 746,5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1. Турнир по каратэ (призы)-10,8; конкурс военно-патриотической песни (призы) - 20,0; спартакиада молодежи допризывного возраста (подар. сертификаты 52,3, пули для пневматики-2,0, пули, дымовые шашки, пулеметная лента, петарды-9,0 , кубки и медали-10,5, продукты-9,8, посуда и скатерть-5,8).                                                                                                                  2. "Юнармейцы в юбках" - 12,76;  подарочные сертификаты - 171,0; медали, кубки, дипломы - 73,4, пошив костюмов ( 9 мая) - 216,0 , "Зарница", Организация питания участников спортивной игры  - 30,0; награждение - 23,65; приобретение ж/д билетов  и питания для участников всеросийского конкурса " Зарница" - 80,0.                                                                                                                                                                                   3. Военно-полевые сборы: организация питания - 11,00, награждение - 8,49.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</si>
  <si>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- 1098,23 (МБ), </t>
    </r>
    <r>
      <rPr>
        <sz val="15"/>
        <rFont val="Times New Roman"/>
        <family val="1"/>
        <charset val="204"/>
      </rPr>
      <t>из них: оплата труда-951,67, услуги связи-10,0, услуги по сод.имущества- 0,7, прочие услуги-129,0, приобретение мат.запасов-6,86.</t>
    </r>
  </si>
  <si>
    <r>
      <rPr>
        <b/>
        <i/>
        <sz val="15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 17525,86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</t>
    </r>
    <r>
      <rPr>
        <b/>
        <i/>
        <sz val="15"/>
        <rFont val="Times New Roman"/>
        <family val="1"/>
        <charset val="204"/>
      </rPr>
      <t xml:space="preserve"> них: 175,26 (МБ), 173,50 (РХ), 17177,1 (ФБ).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</si>
  <si>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r>
      <t xml:space="preserve">1.Обеспечение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                                                                                        г. Байконура и федеральной территории "Сириус", муниципальных общеобразовательных организаций и профессиональных образовательных организаций - 651,1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Ежемесячное денежное вознаграждение советникам директоров </t>
    </r>
  </si>
  <si>
    <r>
      <rPr>
        <b/>
        <i/>
        <sz val="16"/>
        <rFont val="Times New Roman"/>
        <family val="1"/>
        <charset val="204"/>
      </rPr>
      <t xml:space="preserve">3.Ежемесячное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 55492,7 (ФБ).                                              </t>
    </r>
    <r>
      <rPr>
        <sz val="16"/>
        <rFont val="Times New Roman"/>
        <family val="1"/>
        <charset val="204"/>
      </rPr>
      <t>Оплата труда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</si>
  <si>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- 390 760,63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труда-381 715,13, услуги связи - 98,47; прочие услуги- 2 099,39, приобретение основных средств- 3 854,97, приобретение мат.запасов - 2 992,67. </t>
    </r>
  </si>
  <si>
    <t xml:space="preserve">7.Организация школьного питания - 3555,56, из них: 1550,56 (МБ), 2005,0 (РХ).         </t>
  </si>
  <si>
    <r>
      <t xml:space="preserve">2.Капитальный ремонт в муниципальных учреждениях, в том числе проектно-сметная документация-283,45 (МБ)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Проверка сметной документации по обьекту"капитальный аварийно-восстановительный ремонт (после ЧС от 05.04.2025): Доможаковская СОШ - 7,9 , Красноозерная ООШ - 7,9, Райковская СОШ - 7,9 , Сапоговская СОШ - 7,9, Усть-Абаканская СОШ - 105,92 , Чарковская СОШИ - 7,9; гос.экспертиза на кап.ремонт Усть-Абаканская СОШ (корп.2) - 138,03</t>
    </r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</si>
  <si>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- 2289,01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Испытание пожарных кранов: ОШИ - 1,3, Чарковская СОШИ - 3,3;  В-Биджинская СОШ - 1,8, Весенненская СОШ - 1,9, Росток - 4,8; Проверка качества огнезащитной обработки кровли: Чарковская СОШИ - 12,0, В-Биджинская СОШ - 8,0 , Красноозерная ООШ - 4,0,Опытненская СОШ - 7,6, Росток - 5,5, Расцветская СОШ - 4,0, Усть-Абаканская СОШ - 9,7;  Установка котла Весенненская СОШ - 105,0,  испытание ограждения кровли: Расцветская СОШ - 13,1;  Обработка деревянных конструкций кровли: Расцветская СОШ - 129,6, ОШИ - 83,7, Калининская СОШ - 70,2;испытание  качества огнезащитной обработки кровли: Солнечная СОШ - 31,0 , Калининская СОШ - 11,5 ; Ремонт окна в спортзале (после ЧС от 05.04.2025) Усть-Абаканская СОШ - 32,6; аварийно-восстановительный ремонт сети наружной канализации: Калининская СОШ - 260,7, Расцветская СОШ - 108,6; аварийно-восстановительный ремонт кровли Усть-Абаканская СОШ - 252,0.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</si>
  <si>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- 25250,2 (МБ),</t>
    </r>
    <r>
      <rPr>
        <sz val="15"/>
        <rFont val="Times New Roman"/>
        <family val="1"/>
        <charset val="204"/>
      </rPr>
      <t xml:space="preserve"> из них:  оплата труда-23 091,2 , услуги связи -92,5,коммунальные услуги-480,6,услуги по сод.имущества- 250,3, прочие услуги-871,3 ,страхование- 11,1, прочие расходы-7,7,приобретение основных средств-11,7, приобретение мат.запасов-433,8.</t>
    </r>
  </si>
  <si>
    <t>Приобретение для награждения в конкурсах "Учитель года", "Педагог ДОО" "Про100Лидеры" телевизор, кофеварка, эл. гриль, пылесосумная колонка, блендер, тостер - 89,0; награждение (цветы, медаль, приз из акрила) - 92,13 , поставка фотобумаги - 20,08.</t>
  </si>
  <si>
    <r>
      <t xml:space="preserve">5.Приобретение жилья для специалистов с высшим педагогическим образованием - 2269,10 (РХ)                                                                           </t>
    </r>
    <r>
      <rPr>
        <sz val="15"/>
        <rFont val="Times New Roman"/>
        <family val="1"/>
        <charset val="204"/>
      </rPr>
      <t>Приобретение жилого помещения для педагогов с высшим педагогическим образованием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</si>
  <si>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- 968,98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ЦБС: 1. Электронная библиотека ЛитРес - 60,0; 2. Проверка сметной документации по объекту - 40,62; 3. Повышение квалификации сотрудников - 6,0; 4. Празднование 80-летней годовщины Победы в ВОВ - 20,0; 5. Празднование юбилеев библиотек и общероссийского дня - 82,86; 6. Приобретение потолочного разделителя - 22,8; 7. Услуги по проведению строит. контроля "Текущий ремонт В-Биджинской сельской библиотеки" - 46,88; 8. Выполнение работ по текущему ремонту В-Биджинской сельской библиотеки - 449,82; 9. Остаток на счете - 240,0.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</si>
  <si>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5.Государственная поддержка отрасли культуры (денежное поощрение лучших работников сельских учреждений культуры) (в том числе софинансирование с республиканским бюджетом)- 51,01, из них 0,51 (МБ),0,5 (РХ), 50,0 (ФБ).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работников сельских учреждений культуры - 51,01.</t>
    </r>
  </si>
  <si>
    <r>
      <t xml:space="preserve">4.Государственная поддержка отрасли культуры (комплектование книжных фондов) (в том числе софинансирование с республиканским бюджетом)- 123,64, из них 1,24 (МБ),1,2 (РХ), 121,2 (ФБ).                                                                                                    </t>
    </r>
    <r>
      <rPr>
        <sz val="15"/>
        <rFont val="Times New Roman"/>
        <family val="1"/>
        <charset val="204"/>
      </rPr>
      <t>Комплектование книжных фондов - 123,64.</t>
    </r>
  </si>
  <si>
    <r>
      <rPr>
        <b/>
        <i/>
        <sz val="15"/>
        <rFont val="Times New Roman"/>
        <family val="1"/>
        <charset val="204"/>
      </rPr>
      <t>6. Государственная поддержка отрасли культуры (денежное поощрение лучших сельских учреждений культуры) (в том числе софинансирование с республиканским бюджетом)- 102,02, из них 1,02 (МБ),1,0 (РХ), 100,0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сельских учреждений культуры - 102,02.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</si>
  <si>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- 4104,04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1. Заработная плата (ст.211) — 2355,67; 2. Пособие по врем.нетруд. (266) - 8,66; 3. Начисления на выплаты по оплате труда (ст.213) — 675,7; 4. Услуги связи (ст.221) - 33,02; 5. Коммунальные услуги (ст.223) — 183,72; 6. Работы, услуги по содержанию имущества (ст.225) — 163,06; 7. Прочие работы, услуги (ст.226) — 171,48 (услуги по охране-51,12, ТО оборудования вх. в систему видеонаблюдения-73,8, доступ к инфор. базе-1,8, сопровождение сайта-6,9, предрейс. осм. водителя-8,46; адаптация и тестирование программы ККТ-7,3; бумага для офис.техники, ПО Касперский-10,0; монтаж настройка и проверка об-я ГЛОНАСС-9,2; тех. обслуживание ключа SSL-2,9); 8. Страхование (ст.227) — 24,76; 9. Увеличение стоимости ГСМ (ст.343) — 197,42; 10. Увеличение стоимости строительных материалов (ст.344) - 46,24; 11. Увеличение стоимости прочих оборотных запасов (ст.346) — 109,81 (канц. и хоз.товары); 12. Увеличение стоимости основных средств (ст.310) — 59,18; 13. Прочие расходы (290) - 75,07; 14. Остаток на счете - 0,25.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</si>
  <si>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Региональный проект "Семейные ценности и инфраструктура культуры"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1.Создание модельных библиотек (в том числе софинансирование с республиканским бюджетом) - 6979,7, из них 69,8 (МБ), 69,1 (РХ), 6840,8 (ФБ).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Создание модельных муниципальных библиотек в с. Вершино-Биджа - 6979,7.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</si>
  <si>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учреждений(ДШИ)- 14278,93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</t>
    </r>
    <r>
      <rPr>
        <sz val="15"/>
        <rFont val="Times New Roman"/>
        <family val="1"/>
        <charset val="204"/>
      </rPr>
      <t xml:space="preserve">                                                  1. Заработная плата (ст.211) - 10026,71; 2. Начисления на выплаты по оплате труда (ст.213) - 2804,5; 3. Услуги связи (ст.221) - 10,96; 4. Коммунальные услуги (ст.223) - 503,35; 5. Услуги по содержанию имущества (ст.225) - 29,24; 6. Прочие работы, услуги (ст.226) - 225,8 (работы по сбору и обобщению инф-ии-5,0, ведение цент. круглосуточного видеонаблюдения-4, оказание охранных услуг-142,1, Пушкинская карта-0,5, сопровождение сайта-11,6; ЭС "Образование-52,0; обучение по пожар. проф-ке-10,5); 7. Прочие расходы (ст.290) - 3,1; 8. Остаток на счете - 675,27.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</t>
    </r>
  </si>
  <si>
    <r>
      <t>Обеспечение деятельности органов местного самоуправления - 10637,5, в том числе:  7566,9 (МБ),                                                                                            3070,6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- 7522,6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–4672,7;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- 31,2;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1320,1 ;                                                                                                                                                                         4.Услуги связи – 93,0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 46,3 ;                                                                                                                                                                      6.Страхование -6,9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основных средств –7,4 ;                                                                                                                            8.Увеличение стоимости материальных запасов - 364,7                                                                                                                                                9.Прочие расходы –976,9 ;                                                                                                                                                                                                10.Налоги -3,4,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</si>
  <si>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1.2. «Капитальный ремонт в муниципальных учреждениях, в том числе проектно-сметная документация»- 744,8  (МБ):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1.Экспертиза  сметной стоимости на капитальный ремонт дымовой трубы котельной, расположенной по адресу: Республика Хакасия, Усть-Абаканский район, с. Вершино-Биджа, ул. Полевая, д. 1А  - 34,6;                                                                                           2. Текущий ремонт напортного канализационного коллектора, расположенного в районе земельного участка по адресу: п. Тепличный, ул. Совхозная 1.1; исследование металла для определения марки стали металлической трубы котельной а. Чарков, а. Доможакав; техническое обследование строительных конструкций зданий котельных а. Чарков, а. Доможаков, с. Вершино-Биджа - 630,2;                                                                                                                                                                                                                                3. Изготовление паспорта металлической трубы аал. Чарков, аал. Доможаков; осуществление строительного контроля по капитальному ремонту системы теплоснабжения с. Солнечное - 80,0.                                                                                                                                                                               </t>
    </r>
  </si>
  <si>
    <r>
      <t xml:space="preserve">«Реализация инициативных проектов муниципального образования »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Реализация инициативного проекта "Родничок - территория счастливого и безопасного детства" - 2000,0 (РХ):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Приобретение теневых навесов, устройство брусчатки МБДОУ "ДС "Родничок".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Реализация инициативного поекта "Спортивная молодежь - сильная Россия - 2000,0 (РХ):                                                                 </t>
    </r>
    <r>
      <rPr>
        <sz val="15"/>
        <rFont val="Times New Roman"/>
        <family val="1"/>
        <charset val="204"/>
      </rPr>
      <t>Устройство универсальной спортивной площадки (мини-футбол, волейбол) МБОУ "Чапаевская СОШ".</t>
    </r>
  </si>
  <si>
    <r>
      <t xml:space="preserve">«Региональный проект Республики Хакасия "Все лучшее детям»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Оснащение предметных кабинетов общеобразовательных организаций средствами обучения и воспитания (в том числе софинансирование  с республиканским бюджетом)-2542,83, из них 25,43 (МБ), 25,2 (РХ), 2492,2 (ФБ)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Оснащение предметных кабинетов</t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</si>
  <si>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4992,3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- 205,0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^Приобретение карты ЧС - 1,4.                                                                                                                                                                              ^Приобретение раскладных кроватей с матрасов для резерва ЧС - 89,3.                                                                                                                                                             ^Проведение опашки земельных участков муниципальной собственности - 90,0;                                                                                               ^Изготовление памяток-24,3.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3.Материально- техническое обеспечение единых дежурно-диспетчерских служб муниципальных образований - 290,1, из них 229,1 (РХ), 61,0 (МБ).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Приобретены системные блоки.                                                                                                                                                             3</t>
    </r>
    <r>
      <rPr>
        <b/>
        <i/>
        <sz val="15"/>
        <rFont val="Times New Roman"/>
        <family val="1"/>
        <charset val="204"/>
      </rPr>
      <t xml:space="preserve">.Иные межбюджетные трансферты на мероприятия по защите населения  - 98,0 (МБ).                                                       </t>
    </r>
    <r>
      <rPr>
        <sz val="15"/>
        <rFont val="Times New Roman"/>
        <family val="1"/>
        <charset val="204"/>
      </rPr>
      <t xml:space="preserve"> Реализованы межбюджетные трансферты на мероприятия по защите населения от чрезвычайных ситуаций, пожарной безопасности Московскому (15,0 ), Райковскому (23,0), Сапоговскому (21,0 ), Усть-Бюрскому (28,0),Весенненскому (11,0) сельским поселениям.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</si>
  <si>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7. Мероприятия по поддержке и развитию культуры, искусства и архивного дела за счет средств безвозмездной помощи- 500,00 (МБ)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книг - 500,00.</t>
    </r>
  </si>
  <si>
    <t>Поставка офисной бумаги для ГИА: Усть-Абаканская СОШ - 8,7 , Калининская СОШ - 2,6, Опытненская СОШ - 2,5, Сапоговская СОШ- 2,0, Усть-Бюрская СОШ -1,7.</t>
  </si>
  <si>
    <r>
      <t xml:space="preserve">2.Обеспечению деятельности советников директора по воспитанию и взаимодействию с детскими общественными объединениями в образовательных организациях (в том числе софинансирование с федеральным бюджетом) -  1768,30, из них 17,7 (РХ), 1750,6 (ФБ).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Оплата труда советников</t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</si>
  <si>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- 1110,74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ДК: 1. Конкурс рис."Зимние фантазии" - 5,0; 2. Выездная игровая программа "Молодецкие забавы" п. Ташеба - 1,8; 3. Конкурс ДПИ и ИЗО "Праздник наших героев" в честь 23 февраля и дня Победы - 2,0; 4. Народ. гулянья "Румяная масленица" с. Московское - 10,75; 5. Поздрав. вечер "Первые тюльпаны", посвящ. 8 Марта - 5,38; 6. Районный конкурс ДПИ "8-е Марта" - 5,0; 7. Конкурс рисунков "Взгляни на небо" посвящ. дню космонавтики - 1,97; 8. Участие в межрегиональном конкурсе нац.танца "Сибирская карусель" - 68,08; 9. День работника культуры - 2,6; 10. Празднование 80-летней годовщины Победы в ВОВ - 75,53; 11. Открытая спартакиада Райковского сельсовета У-А р-на РХ по конному спорту - 16,81; 12. Праздник 9 мая "Труженики Тыла" - 5,0; 13. Размещение инфор. видеосюжетов в регион. эфире - 125,0; 14. Конкурс рисунков "Солнечный круг" ко Дню защиты детей - 1,94; 15. Пресс-тур по сельскохоз. объектам У-А р-на "С любовью к родной земле" - 70,8; 16. Торжественный концерт, посвящ. Дню медицинского работника - 36,13; 17. Услуги по выступ. с вокал.номером и по выступ. танц.коллек., уч. на Районном выпускном вечере "Вперед к успеху" - 24,49; 18. День села Калинино - 20,3; 19. Выездная игр. программа п. Оросительный - 11,99; 20. День села Московское - 10,5; 21. День села Усть-Бюр - 10,94; 22. День села аал. Райков - 10,94; 23. День села д. Чапаево - 10,94; 24. Выездные мероприятия - 58,8; 24. Остаток на счете - 39,42.                                                                                                                                                                            РДК: 1. Конкурс "Парень России - 10,0; Конкурс чтецов "И слово ковало Победу" - 5,0; 3. День работника ЖКХ - 11,0; 4. Курсы повыш.квалификации - 3,5; 5. Фестиваль, посвящ. Дню работника культуры "Звезда Культуры" - 28,97; 6. Размещение информ. видеосюжетов в регион. эфире - 125,0; 7. Выставка "Нам жить и помнить" - 6,0; 8. Празднование 80-летней годовщины Победы в ВОВ - 257,06; 9. Районный конкурс худ. чтения среди детей "Поэтическая весна - 2025" - 3,0; 10. Районный фотопроект "Портрет героя СВО" - 5,0; 11. Участие в фестивале "Гордость Сибири - 2025" - 2,5; 12. Мероприятие, посвящ. Дню России - 5,0   Остаток на счете - 16,56.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</si>
  <si>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3.Обеспечение безопасности музейного фонда и развитие музеев - 159,0 (МБ)                                                                                        </t>
    </r>
    <r>
      <rPr>
        <sz val="15"/>
        <rFont val="Times New Roman"/>
        <family val="1"/>
        <charset val="204"/>
      </rPr>
      <t>Салбык: 1. Акарициднвя обработка, дератизация территории - 42,0; 2. Мероприятие "День открытых дверей" - 15,0; 3. Опашка территории музея - 30,0; 4. Выкашивание травы на Барсучьем Логе - 15,0; 5. Услуги шамана (обряд) - 15,0; 6. Дератизация - 42,0</t>
    </r>
  </si>
  <si>
    <r>
      <t xml:space="preserve">2.Мероприятия по поддержке и развитию культуры, искусства и архивного дела за счет средств безвозмездной помощи - 1000,0(МБ)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1.Обустройство основания и благоустройство площадки - 450,0; 2. Изготовления георг.ленты-100,0, стенд-100,0, форма волонтерская-100,0;  3. Акустическая система, цифровая радиосистема, кабеля - 250,0.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</si>
  <si>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- 1507,9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1. Приобретение специальной одежды  -392,3;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Проведение специальной оценки условий руда-31,2;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Проведение обучения по охране труда -123,6;                                                                                                                                                                                               4. Проведение мед.осмотров -763,9;                                                                                                                                                                                                                 5. Приобретение смывающих и обеззараживающих средств (крем, мыло) -22,1;                                                                                                                                                   6.  Проведение оценки профрисков-7,0;                                                                                                                                                                                                                     7.  Приобретение аптечек- 4,5;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 Приобретение  системы Охрана труда - 108,6;                                                                                                                                                                                               9. Обустройство мест отдыха (приобретение тонометра,обслуживание кондиционеров) -  17,9;                                                                                                                            10. Приобретение стендов-6,0;                                                                                                                                                                                              11.Остаток на счете-30,8.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</si>
</sst>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</numFmts>
  <fonts count="3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8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5" fontId="32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5" fontId="31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6" xfId="0" applyNumberFormat="1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9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9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vertical="top" wrapText="1"/>
    </xf>
    <xf numFmtId="0" fontId="31" fillId="0" borderId="0" xfId="0" applyNumberFormat="1" applyFont="1" applyFill="1" applyBorder="1"/>
    <xf numFmtId="165" fontId="31" fillId="0" borderId="1" xfId="0" applyNumberFormat="1" applyFont="1" applyFill="1" applyBorder="1" applyAlignment="1">
      <alignment vertical="center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33" fillId="0" borderId="8" xfId="0" applyNumberFormat="1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2" fontId="31" fillId="0" borderId="0" xfId="0" applyNumberFormat="1" applyFont="1" applyFill="1" applyBorder="1" applyAlignment="1">
      <alignment horizontal="left" vertical="center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vertical="top" wrapText="1"/>
    </xf>
    <xf numFmtId="49" fontId="31" fillId="0" borderId="5" xfId="0" applyNumberFormat="1" applyFont="1" applyFill="1" applyBorder="1" applyAlignment="1">
      <alignment horizontal="center" vertical="top" wrapText="1"/>
    </xf>
    <xf numFmtId="165" fontId="31" fillId="0" borderId="21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center" vertical="top"/>
    </xf>
    <xf numFmtId="4" fontId="31" fillId="0" borderId="7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 wrapText="1"/>
    </xf>
    <xf numFmtId="168" fontId="31" fillId="0" borderId="1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/>
    </xf>
    <xf numFmtId="164" fontId="32" fillId="0" borderId="9" xfId="0" applyNumberFormat="1" applyFont="1" applyFill="1" applyBorder="1" applyAlignment="1">
      <alignment vertical="top"/>
    </xf>
    <xf numFmtId="164" fontId="31" fillId="0" borderId="6" xfId="0" applyNumberFormat="1" applyFont="1" applyFill="1" applyBorder="1" applyAlignment="1">
      <alignment horizontal="right" vertical="top" shrinkToFit="1"/>
    </xf>
    <xf numFmtId="164" fontId="31" fillId="0" borderId="1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164" fontId="31" fillId="0" borderId="23" xfId="0" applyNumberFormat="1" applyFont="1" applyFill="1" applyBorder="1" applyAlignment="1">
      <alignment horizontal="right" vertical="top" shrinkToFit="1"/>
    </xf>
    <xf numFmtId="4" fontId="32" fillId="0" borderId="5" xfId="0" applyNumberFormat="1" applyFont="1" applyFill="1" applyBorder="1" applyAlignment="1">
      <alignment horizontal="right" vertical="top" shrinkToFi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 shrinkToFit="1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Border="1" applyAlignment="1">
      <alignment horizontal="right" vertical="top" shrinkToFit="1"/>
    </xf>
    <xf numFmtId="164" fontId="31" fillId="0" borderId="4" xfId="0" applyNumberFormat="1" applyFont="1" applyFill="1" applyBorder="1" applyAlignment="1">
      <alignment horizontal="right" vertical="top" shrinkToFit="1"/>
    </xf>
    <xf numFmtId="0" fontId="31" fillId="0" borderId="1" xfId="0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top"/>
    </xf>
    <xf numFmtId="0" fontId="31" fillId="0" borderId="22" xfId="0" applyFont="1" applyFill="1" applyBorder="1" applyAlignment="1">
      <alignment vertical="top" wrapTex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0" fontId="32" fillId="0" borderId="5" xfId="0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4" fontId="32" fillId="0" borderId="0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left" vertical="top"/>
    </xf>
    <xf numFmtId="4" fontId="31" fillId="0" borderId="12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right" vertical="top" shrinkToFit="1"/>
    </xf>
    <xf numFmtId="165" fontId="32" fillId="0" borderId="5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center"/>
    </xf>
    <xf numFmtId="164" fontId="32" fillId="0" borderId="8" xfId="0" applyNumberFormat="1" applyFont="1" applyFill="1" applyBorder="1" applyAlignment="1">
      <alignment horizontal="center" vertical="top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0" fontId="32" fillId="0" borderId="7" xfId="0" applyFont="1" applyFill="1" applyBorder="1" applyAlignment="1">
      <alignment vertical="top" wrapText="1"/>
    </xf>
    <xf numFmtId="4" fontId="32" fillId="0" borderId="0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9" fontId="32" fillId="0" borderId="8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3" fillId="0" borderId="5" xfId="0" applyNumberFormat="1" applyFont="1" applyFill="1" applyBorder="1" applyAlignment="1">
      <alignment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165" fontId="31" fillId="0" borderId="12" xfId="0" applyNumberFormat="1" applyFont="1" applyFill="1" applyBorder="1" applyAlignment="1">
      <alignment vertical="top" wrapText="1"/>
    </xf>
    <xf numFmtId="165" fontId="31" fillId="0" borderId="11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3" fillId="0" borderId="6" xfId="0" applyNumberFormat="1" applyFont="1" applyFill="1" applyBorder="1" applyAlignment="1">
      <alignment vertical="top" wrapText="1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167" fontId="31" fillId="0" borderId="12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4" fontId="31" fillId="0" borderId="9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33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25" t="s">
        <v>92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17" ht="34.5" customHeight="1">
      <c r="A2" s="625" t="s">
        <v>106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26" t="s">
        <v>17</v>
      </c>
      <c r="B4" s="626" t="s">
        <v>18</v>
      </c>
      <c r="C4" s="628" t="s">
        <v>19</v>
      </c>
      <c r="D4" s="629"/>
      <c r="E4" s="629"/>
      <c r="F4" s="630"/>
      <c r="G4" s="628" t="s">
        <v>0</v>
      </c>
      <c r="H4" s="629"/>
      <c r="I4" s="629"/>
      <c r="J4" s="630"/>
      <c r="K4" s="631" t="s">
        <v>86</v>
      </c>
      <c r="L4" s="626" t="s">
        <v>20</v>
      </c>
      <c r="M4" s="5" t="s">
        <v>88</v>
      </c>
      <c r="P4" s="72"/>
    </row>
    <row r="5" spans="1:17" s="5" customFormat="1" ht="28.5" customHeight="1">
      <c r="A5" s="627"/>
      <c r="B5" s="627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32"/>
      <c r="L5" s="627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623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623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623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623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39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39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623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623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623"/>
    </row>
    <row r="81" spans="1:16" ht="322.5" customHeight="1">
      <c r="A81" s="21" t="s">
        <v>31</v>
      </c>
      <c r="B81" s="642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43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43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43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43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43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43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43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33"/>
      <c r="C90" s="635"/>
      <c r="D90" s="635"/>
      <c r="E90" s="637"/>
      <c r="F90" s="635"/>
      <c r="G90" s="635"/>
      <c r="H90" s="635"/>
      <c r="I90" s="635"/>
      <c r="J90" s="635"/>
      <c r="K90" s="652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34"/>
      <c r="C91" s="636"/>
      <c r="D91" s="636"/>
      <c r="E91" s="638"/>
      <c r="F91" s="636"/>
      <c r="G91" s="636"/>
      <c r="H91" s="636"/>
      <c r="I91" s="636"/>
      <c r="J91" s="636"/>
      <c r="K91" s="653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48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49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40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41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41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41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44" t="s">
        <v>49</v>
      </c>
      <c r="B131" s="646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45"/>
      <c r="B132" s="647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50" t="s">
        <v>54</v>
      </c>
      <c r="B141" s="651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24" t="s">
        <v>110</v>
      </c>
      <c r="B153" s="624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54" t="s">
        <v>92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</row>
    <row r="2" spans="1:26" ht="34.5" customHeight="1">
      <c r="A2" s="654" t="s">
        <v>222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55" t="s">
        <v>17</v>
      </c>
      <c r="B4" s="655" t="s">
        <v>18</v>
      </c>
      <c r="C4" s="657" t="s">
        <v>19</v>
      </c>
      <c r="D4" s="658"/>
      <c r="E4" s="658"/>
      <c r="F4" s="659"/>
      <c r="G4" s="657" t="s">
        <v>0</v>
      </c>
      <c r="H4" s="658"/>
      <c r="I4" s="658"/>
      <c r="J4" s="659"/>
      <c r="K4" s="660" t="s">
        <v>211</v>
      </c>
      <c r="L4" s="655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56"/>
      <c r="B5" s="656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61"/>
      <c r="L5" s="656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62">
        <f>M7+M9+M10+M11+M12+M13+M14+M16</f>
        <v>21214.799999999999</v>
      </c>
      <c r="O7" s="665">
        <f>124+19.3+165.3+19.3+120.9+200+182.6+220+220+183.4+183.4+120.9+111.8+742.3+800+27.9+200+183.4+3.1+20</f>
        <v>3847.6000000000004</v>
      </c>
      <c r="P7" s="667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63"/>
      <c r="O8" s="666"/>
      <c r="P8" s="668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63"/>
      <c r="O9" s="340">
        <f>35.7+815.5</f>
        <v>851.2</v>
      </c>
      <c r="P9" s="668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63"/>
      <c r="O10" s="273">
        <f>94.7+3173.5</f>
        <v>3268.2</v>
      </c>
      <c r="P10" s="669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63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63"/>
      <c r="O12" s="353">
        <f>6546.3+109.7+128.5+2033.7+114.6+64.6+126.8+3.2+4.5+247.1+1426.6+11.9+5.1</f>
        <v>10822.600000000002</v>
      </c>
      <c r="P12" s="667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63"/>
      <c r="O13" s="340">
        <v>195</v>
      </c>
      <c r="P13" s="668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63"/>
      <c r="O14" s="273">
        <f>732.3+221.2+2863.1+125+4.1+112.5+131.3+5.5+0.2</f>
        <v>4195.2</v>
      </c>
      <c r="P14" s="669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63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64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70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63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63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63"/>
      <c r="O22" s="671">
        <f>106+199.1+122.1+138.32+22.75+23.44+112.27+168.57+130+55+37.9+8+13+7.8+4+122.4+53.84+40+2510.2+165.44+80.98+35+154.2+13.6+12.3+597.85+1133.3+1410.6+5+5+52.45+167.91+24.24+21.73+50.2+96.6</f>
        <v>7901.09</v>
      </c>
      <c r="P22" s="672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63"/>
      <c r="O23" s="671"/>
      <c r="P23" s="672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63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63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63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63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63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63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63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63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63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73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63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73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63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73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63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63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63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63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63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63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63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63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63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63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63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63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63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63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62">
        <f>M58+M59+M60+M63+M64+M62</f>
        <v>49262</v>
      </c>
      <c r="O58" s="287">
        <f>14839.58+52.96+259.32+193.83+81.02+7.84+95.59</f>
        <v>15530.14</v>
      </c>
      <c r="P58" s="674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63"/>
      <c r="O59" s="340">
        <f>15408+17.92+680.29+87.94+149.57+0.6+389.53+22.15+1125.9</f>
        <v>17881.900000000001</v>
      </c>
      <c r="P59" s="675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63"/>
      <c r="O60" s="340">
        <f>28474.84+27.26+880.59+337.67+770.05+128.51+912.06+793.87+1837.17</f>
        <v>34162.019999999997</v>
      </c>
      <c r="P60" s="675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63"/>
      <c r="O61" s="340"/>
      <c r="P61" s="675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63"/>
      <c r="O62" s="340">
        <f>566.2+8.5+50+2.5</f>
        <v>627.20000000000005</v>
      </c>
      <c r="P62" s="675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63"/>
      <c r="O63" s="340">
        <f>81.19+45+214.35</f>
        <v>340.53999999999996</v>
      </c>
      <c r="P63" s="675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64"/>
      <c r="O64" s="273">
        <f>6597.4+6.5+5.4+188.6+54.9</f>
        <v>6852.7999999999993</v>
      </c>
      <c r="P64" s="676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77" t="s">
        <v>28</v>
      </c>
      <c r="B68" s="642" t="s">
        <v>83</v>
      </c>
      <c r="C68" s="680">
        <v>5742.7</v>
      </c>
      <c r="D68" s="680">
        <v>387.3</v>
      </c>
      <c r="E68" s="682"/>
      <c r="F68" s="684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86">
        <f>O68+O69</f>
        <v>5850.7999999999993</v>
      </c>
      <c r="Q68" s="667">
        <f>J68-P68</f>
        <v>0</v>
      </c>
    </row>
    <row r="69" spans="1:17" s="244" customFormat="1" ht="126.75" customHeight="1">
      <c r="A69" s="678"/>
      <c r="B69" s="679"/>
      <c r="C69" s="681"/>
      <c r="D69" s="681"/>
      <c r="E69" s="683"/>
      <c r="F69" s="685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87"/>
      <c r="Q69" s="688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62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89">
        <f>1.5+27.08+10+35.78+384.4+34.9+8.1+9.84+4.31+150+4+7+3+6.65+6.96+37.52+4.42+9.9+17.92+3+10.45+25+10.39</f>
        <v>812.11999999999989</v>
      </c>
      <c r="N72" s="663"/>
      <c r="O72" s="689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89"/>
      <c r="N73" s="663"/>
      <c r="O73" s="689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90" t="s">
        <v>321</v>
      </c>
      <c r="M74" s="689">
        <f>1.5+19+4.75+9.74+9.94+3.6+43.83+180.03+138+45.67+129.1+15.81+16.84+6+11.3+10.56+10.39+7.28+73.51+2.5+5+751.26+2.85+70.25+142.64+30.53</f>
        <v>1741.8799999999994</v>
      </c>
      <c r="N74" s="663"/>
      <c r="O74" s="689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90"/>
      <c r="M75" s="689"/>
      <c r="N75" s="663"/>
      <c r="O75" s="689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63"/>
      <c r="O76" s="689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63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64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91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92"/>
      <c r="O83" s="666">
        <f>26.5+31.34+50+9.37+30+524.58+0.83+234.4+7.3+91.5+93.9+77.8+4.08+4.59+200+39.99+35.96+14.71+11.97+43.54+144.38+108.2+34.1+61.8+37.03+1012.8+11.93+72.8</f>
        <v>3015.3999999999996</v>
      </c>
      <c r="P83" s="672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92"/>
      <c r="O84" s="666"/>
      <c r="P84" s="672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92"/>
      <c r="O85" s="252">
        <v>217.8</v>
      </c>
      <c r="P85" s="672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92"/>
      <c r="O86" s="252">
        <f>951.1+19.4</f>
        <v>970.5</v>
      </c>
      <c r="P86" s="672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92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92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92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89">
        <f>3.46+13+2.4+20+4.5+11+50+5.1+10.5+2.1+500+220+32.66+8.85+25+2+22+22+5.4+24.6+8.4+17.03+27.61+1299.96+4.9+23.2+8+5.21+10.6+9.25+50.6</f>
        <v>2449.3299999999995</v>
      </c>
      <c r="N90" s="692"/>
      <c r="O90" s="252">
        <f>3.5+13+2.4+20+4.5+11+50+5.1+10.5+2.1+500+220+32.66+8.85+25+2+22+22+5.4</f>
        <v>960.01</v>
      </c>
      <c r="P90" s="672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89"/>
      <c r="N91" s="692"/>
      <c r="O91" s="689">
        <f>24.6+8.4+17.03+27.61+1299.96+4.9+23.2+8+5.21+10.6+9.25+119.42+9+14+50.25+264+258.32+9+6+5+19.3+3.44+1.5+2.5+2.56+0.04</f>
        <v>2203.0900000000006</v>
      </c>
      <c r="P91" s="672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92"/>
      <c r="O92" s="689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92"/>
      <c r="O93" s="689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93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91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66">
        <f>10+15.25+20+7+113.65+24.6+7+6.1+30+3+7.2+6.1+11.19+3+6+15+3+7.72+15+5.6+96+33.16+109+4.23+10</f>
        <v>568.80000000000007</v>
      </c>
      <c r="N98" s="692"/>
      <c r="O98" s="252">
        <f>10+15.25+20+7+113.65+24.6+4.26+10+14.98+38.75+30+93.97+35+102.66+10.02</f>
        <v>530.14</v>
      </c>
      <c r="P98" s="672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66"/>
      <c r="N99" s="692"/>
      <c r="O99" s="252">
        <f>7+6.1+30+3+7.2+6.1+11.2+3+6+15+3+7.72+15+5.6+96+22.72+109</f>
        <v>353.64</v>
      </c>
      <c r="P99" s="672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66"/>
      <c r="N100" s="692"/>
      <c r="O100" s="252">
        <f>40+10.6+26.04+4.6+13.11+76.6+14.97</f>
        <v>185.92</v>
      </c>
      <c r="P100" s="672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93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91">
        <f>M102+M103</f>
        <v>22512.099999999995</v>
      </c>
      <c r="O102" s="353">
        <f>5157.87+1604.54+9.38+21.84+9.6+410.07+8+1+3.5</f>
        <v>7225.8</v>
      </c>
      <c r="P102" s="667">
        <f>O102+O103</f>
        <v>30588.499999999996</v>
      </c>
      <c r="Q102" s="672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93"/>
      <c r="O103" s="273">
        <f>17006.24+5317.12+77.8+133.57+383.72+8.42+297.1+5.76+5.5+44.43+83.04</f>
        <v>23362.699999999997</v>
      </c>
      <c r="P103" s="669"/>
      <c r="Q103" s="672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98">
        <f>M104+M105</f>
        <v>1616.3999999999999</v>
      </c>
      <c r="O104" s="353">
        <f>1272.52+364.08+20.32+2.4+18.63+6.2+35.5+244.75+139</f>
        <v>2103.4</v>
      </c>
      <c r="P104" s="667">
        <f>O104+O105</f>
        <v>2641.4</v>
      </c>
      <c r="Q104" s="672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99"/>
      <c r="O105" s="333">
        <f>14+2.4+55+38.74+28.8+11.2+50+31.8+37+21+1+89.44+9.8+58.5+25.64+29.67+19+6.6+8.4+0.01</f>
        <v>538</v>
      </c>
      <c r="P105" s="669"/>
      <c r="Q105" s="700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91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92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92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92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92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92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92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92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92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92"/>
      <c r="O115" s="252">
        <f>12+4.56+14.5+30+25.35+9.45+21.76+12.97+8.16+10.29+4.14+8.5+4.05+12.15+6.4</f>
        <v>184.28</v>
      </c>
      <c r="P115" s="673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92"/>
      <c r="O116" s="252"/>
      <c r="P116" s="673"/>
      <c r="Q116" s="343"/>
    </row>
    <row r="117" spans="1:17" s="244" customFormat="1" ht="361.5" customHeight="1">
      <c r="A117" s="221"/>
      <c r="B117" s="633"/>
      <c r="C117" s="694"/>
      <c r="D117" s="694"/>
      <c r="E117" s="696"/>
      <c r="F117" s="694"/>
      <c r="G117" s="694"/>
      <c r="H117" s="694"/>
      <c r="I117" s="694"/>
      <c r="J117" s="694"/>
      <c r="K117" s="701"/>
      <c r="L117" s="12" t="s">
        <v>256</v>
      </c>
      <c r="M117" s="340">
        <f>7.68+5.67+10.2+8.1+4.8+2.56+4+6.35+7.06+3.7+1.5+1.24+5.9+28.89+2.53+4+20.5+26.64</f>
        <v>151.32</v>
      </c>
      <c r="N117" s="692"/>
      <c r="O117" s="252">
        <f>5.67+10.2+8.1+4.8+2.56+4+6.35+7.06+3.7+1.5+1.24+5.9+42.03+2.53+4+20.47+580+7.68</f>
        <v>717.79</v>
      </c>
      <c r="P117" s="673"/>
      <c r="Q117" s="343"/>
    </row>
    <row r="118" spans="1:17" s="244" customFormat="1" ht="221.25" customHeight="1">
      <c r="A118" s="221"/>
      <c r="B118" s="633"/>
      <c r="C118" s="694"/>
      <c r="D118" s="694"/>
      <c r="E118" s="696"/>
      <c r="F118" s="694"/>
      <c r="G118" s="694"/>
      <c r="H118" s="694"/>
      <c r="I118" s="694"/>
      <c r="J118" s="694"/>
      <c r="K118" s="701"/>
      <c r="L118" s="12" t="s">
        <v>257</v>
      </c>
      <c r="M118" s="340"/>
      <c r="N118" s="692"/>
      <c r="O118" s="252">
        <f>6+12.84+20.31+49.84+2.46+3.2+3.6+4.9+7.28+6.02+5.7</f>
        <v>122.15</v>
      </c>
      <c r="P118" s="673"/>
      <c r="Q118" s="343"/>
    </row>
    <row r="119" spans="1:17" s="244" customFormat="1" ht="112.5" customHeight="1">
      <c r="A119" s="222"/>
      <c r="B119" s="634"/>
      <c r="C119" s="695"/>
      <c r="D119" s="695"/>
      <c r="E119" s="697"/>
      <c r="F119" s="695"/>
      <c r="G119" s="695"/>
      <c r="H119" s="695"/>
      <c r="I119" s="695"/>
      <c r="J119" s="695"/>
      <c r="K119" s="702"/>
      <c r="L119" s="148" t="s">
        <v>311</v>
      </c>
      <c r="M119" s="273">
        <f>41803.2+1061.3+771.3</f>
        <v>43635.8</v>
      </c>
      <c r="N119" s="693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62">
        <f>M121+M122</f>
        <v>9880.9</v>
      </c>
      <c r="O121" s="353">
        <f>8011.2+72.5+49+100+649</f>
        <v>8881.7000000000007</v>
      </c>
      <c r="P121" s="686">
        <f>O121+O122</f>
        <v>13505.400000000001</v>
      </c>
      <c r="Q121" s="667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64"/>
      <c r="O122" s="273">
        <v>4623.7</v>
      </c>
      <c r="P122" s="687"/>
      <c r="Q122" s="669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62">
        <f>M123+M124+M125</f>
        <v>85771.5</v>
      </c>
      <c r="O123" s="353">
        <f>11180+36585.3</f>
        <v>47765.3</v>
      </c>
      <c r="P123" s="686">
        <f>O123+O124+O125</f>
        <v>106370.3</v>
      </c>
      <c r="Q123" s="667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63"/>
      <c r="O124" s="340">
        <f>8193.7+205.3+50.2+61.1+103.7+1625.1+171.5+66.4</f>
        <v>10477.000000000002</v>
      </c>
      <c r="P124" s="672"/>
      <c r="Q124" s="707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64"/>
      <c r="O125" s="273">
        <f>29396.3+18731.7</f>
        <v>48128</v>
      </c>
      <c r="P125" s="687"/>
      <c r="Q125" s="688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86">
        <f>O126+O127+O128+O129+O130</f>
        <v>6337.7</v>
      </c>
      <c r="Q126" s="667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72"/>
      <c r="Q127" s="707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72"/>
      <c r="Q128" s="707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72"/>
      <c r="Q129" s="707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87"/>
      <c r="Q130" s="688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708">
        <f>M131+M132+M133+M136</f>
        <v>16259.9</v>
      </c>
      <c r="O131" s="353">
        <f>12780.61+3958.34+234.22+467.32+648.72+951.4+279.52+343.37+22.61+460.92+186.03+40.82+1852.62+560.45</f>
        <v>22786.95</v>
      </c>
      <c r="P131" s="686">
        <f>O131+O132+O133+O134+O135+O136</f>
        <v>27218</v>
      </c>
      <c r="Q131" s="667">
        <f>J131-P131</f>
        <v>9.9999999998544808E-2</v>
      </c>
      <c r="R131" s="713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709"/>
      <c r="O132" s="340">
        <v>141.5</v>
      </c>
      <c r="P132" s="672"/>
      <c r="Q132" s="707"/>
      <c r="R132" s="714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709"/>
      <c r="O133" s="340">
        <f>545+50</f>
        <v>595</v>
      </c>
      <c r="P133" s="672"/>
      <c r="Q133" s="707"/>
      <c r="R133" s="714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709"/>
      <c r="O134" s="340">
        <v>1761.89</v>
      </c>
      <c r="P134" s="672"/>
      <c r="Q134" s="707"/>
      <c r="R134" s="714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709"/>
      <c r="O135" s="340">
        <f>700+14.76+300+150+150+330</f>
        <v>1644.76</v>
      </c>
      <c r="P135" s="672"/>
      <c r="Q135" s="707"/>
      <c r="R135" s="714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710"/>
      <c r="O136" s="273">
        <f>264.1+23.8</f>
        <v>287.90000000000003</v>
      </c>
      <c r="P136" s="687"/>
      <c r="Q136" s="688"/>
      <c r="R136" s="714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67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68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69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62">
        <f>M148+M149+M150+M151+M152+M153+M160</f>
        <v>27789.9</v>
      </c>
      <c r="O148" s="353">
        <f>48.83+276.74+58.04+65.92+50.83+116.02</f>
        <v>616.38</v>
      </c>
      <c r="P148" s="704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63"/>
      <c r="O149" s="340">
        <v>23.4</v>
      </c>
      <c r="P149" s="705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63"/>
      <c r="O150" s="340">
        <f>2000+1796.26+1253.8+0.48+2735.78+1042.85</f>
        <v>8829.17</v>
      </c>
      <c r="P150" s="705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63"/>
      <c r="O151" s="340">
        <f>606.2+195.36+439.69+842.82</f>
        <v>2084.0700000000002</v>
      </c>
      <c r="P151" s="705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63"/>
      <c r="O152" s="340">
        <f>4843.8+7957.8+2775.1+293.8+2100.7+1110.1</f>
        <v>19081.3</v>
      </c>
      <c r="P152" s="705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63"/>
      <c r="O153" s="340">
        <f>99+162.4+56.6+6+42.9+22.6</f>
        <v>389.5</v>
      </c>
      <c r="P153" s="705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63"/>
      <c r="O154" s="273">
        <f>7500+599+517.27+459.09+178.62</f>
        <v>9253.9800000000014</v>
      </c>
      <c r="P154" s="706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63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63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63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63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63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64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91">
        <f>M161+M162+M163+M164+M165+M166+M168+M167</f>
        <v>118895.3</v>
      </c>
      <c r="O161" s="353">
        <f>13433.31+4025.84+30.99+1+158.38+4.1+47.7+79.6+863.32+445.06+90.4+7.2+1.6</f>
        <v>19188.500000000004</v>
      </c>
      <c r="P161" s="674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92"/>
      <c r="O162" s="340">
        <v>122359</v>
      </c>
      <c r="P162" s="675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92"/>
      <c r="O163" s="340">
        <f>7210.49+47.44+181.17+2245.87+84.4+73.36+165.58+62.59+130.35+55.28+5.29+0.88</f>
        <v>10262.700000000001</v>
      </c>
      <c r="P163" s="675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92"/>
      <c r="O164" s="666">
        <f>720.5+771+15</f>
        <v>1506.5</v>
      </c>
      <c r="P164" s="675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66"/>
      <c r="P165" s="675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66"/>
      <c r="P166" s="675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75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76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716" t="s">
        <v>49</v>
      </c>
      <c r="B170" s="642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80">
        <v>3105.1</v>
      </c>
      <c r="H170" s="680">
        <v>648.6</v>
      </c>
      <c r="I170" s="718"/>
      <c r="J170" s="680">
        <f>I170+H170+G170</f>
        <v>3753.7</v>
      </c>
      <c r="K170" s="719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91">
        <f>M170+M171</f>
        <v>2234.1999999999998</v>
      </c>
      <c r="O170" s="353">
        <f>1646.51+367.26+184.4+205.2+610.8+0.4+10.17+2.16+1.5+5.4+71.3</f>
        <v>3105.1000000000004</v>
      </c>
      <c r="P170" s="667">
        <f>O170+O171</f>
        <v>3753.7000000000003</v>
      </c>
      <c r="Q170" s="703">
        <f>J170-P170</f>
        <v>0</v>
      </c>
    </row>
    <row r="171" spans="1:18" s="244" customFormat="1" ht="42" customHeight="1">
      <c r="A171" s="717"/>
      <c r="B171" s="679"/>
      <c r="C171" s="366"/>
      <c r="D171" s="366"/>
      <c r="E171" s="366"/>
      <c r="F171" s="366"/>
      <c r="G171" s="681"/>
      <c r="H171" s="681"/>
      <c r="I171" s="695"/>
      <c r="J171" s="681"/>
      <c r="K171" s="702"/>
      <c r="L171" s="378" t="s">
        <v>344</v>
      </c>
      <c r="M171" s="273">
        <v>471.9</v>
      </c>
      <c r="N171" s="693"/>
      <c r="O171" s="273">
        <v>648.6</v>
      </c>
      <c r="P171" s="669"/>
      <c r="Q171" s="703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67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68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68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69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711" t="s">
        <v>54</v>
      </c>
      <c r="B181" s="712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715" t="s">
        <v>110</v>
      </c>
      <c r="B197" s="715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53"/>
  <sheetViews>
    <sheetView tabSelected="1" view="pageBreakPreview" zoomScale="70" zoomScaleNormal="70" zoomScaleSheetLayoutView="70" workbookViewId="0">
      <pane ySplit="5" topLeftCell="A115" activePane="bottomLeft" state="frozen"/>
      <selection pane="bottomLeft" activeCell="L125" sqref="L125"/>
    </sheetView>
  </sheetViews>
  <sheetFormatPr defaultColWidth="9.140625" defaultRowHeight="19.5"/>
  <cols>
    <col min="1" max="1" width="7.5703125" style="392" customWidth="1"/>
    <col min="2" max="2" width="36.710937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21.5703125" style="396" customWidth="1"/>
    <col min="11" max="11" width="20.85546875" style="545" customWidth="1"/>
    <col min="12" max="12" width="142.7109375" style="392" customWidth="1"/>
    <col min="13" max="13" width="17.140625" style="389" hidden="1" customWidth="1"/>
    <col min="14" max="14" width="18.7109375" style="390" hidden="1" customWidth="1"/>
    <col min="15" max="15" width="27.28515625" style="389" customWidth="1"/>
    <col min="16" max="16" width="29.7109375" style="562" customWidth="1"/>
    <col min="17" max="17" width="30.28515625" style="569" customWidth="1"/>
    <col min="18" max="18" width="29.5703125" style="39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54" t="s">
        <v>92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</row>
    <row r="2" spans="1:26" ht="34.5" customHeight="1">
      <c r="A2" s="654" t="s">
        <v>373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R2" s="393"/>
    </row>
    <row r="3" spans="1:26" ht="20.25" customHeight="1">
      <c r="A3" s="394"/>
      <c r="B3" s="394"/>
      <c r="K3" s="515"/>
      <c r="L3" s="397" t="s">
        <v>16</v>
      </c>
      <c r="R3" s="393"/>
      <c r="S3" s="393"/>
      <c r="T3" s="393"/>
    </row>
    <row r="4" spans="1:26" s="404" customFormat="1" ht="30" customHeight="1">
      <c r="A4" s="724" t="s">
        <v>17</v>
      </c>
      <c r="B4" s="724" t="s">
        <v>18</v>
      </c>
      <c r="C4" s="726" t="s">
        <v>19</v>
      </c>
      <c r="D4" s="727"/>
      <c r="E4" s="727"/>
      <c r="F4" s="728"/>
      <c r="G4" s="726" t="s">
        <v>0</v>
      </c>
      <c r="H4" s="727"/>
      <c r="I4" s="727"/>
      <c r="J4" s="728"/>
      <c r="K4" s="729" t="s">
        <v>355</v>
      </c>
      <c r="L4" s="724" t="s">
        <v>20</v>
      </c>
      <c r="M4" s="398"/>
      <c r="N4" s="399"/>
      <c r="O4" s="398"/>
      <c r="P4" s="400"/>
      <c r="Q4" s="401"/>
      <c r="R4" s="402"/>
      <c r="S4" s="402"/>
      <c r="T4" s="403"/>
      <c r="U4" s="403"/>
      <c r="V4" s="403"/>
      <c r="W4" s="403"/>
      <c r="X4" s="403"/>
      <c r="Y4" s="403"/>
      <c r="Z4" s="403"/>
    </row>
    <row r="5" spans="1:26" s="404" customFormat="1" ht="28.5" customHeight="1">
      <c r="A5" s="725"/>
      <c r="B5" s="725"/>
      <c r="C5" s="405" t="s">
        <v>21</v>
      </c>
      <c r="D5" s="405" t="s">
        <v>22</v>
      </c>
      <c r="E5" s="405" t="s">
        <v>23</v>
      </c>
      <c r="F5" s="405" t="s">
        <v>24</v>
      </c>
      <c r="G5" s="405" t="s">
        <v>21</v>
      </c>
      <c r="H5" s="405" t="s">
        <v>22</v>
      </c>
      <c r="I5" s="405" t="s">
        <v>23</v>
      </c>
      <c r="J5" s="405" t="s">
        <v>24</v>
      </c>
      <c r="K5" s="730"/>
      <c r="L5" s="725"/>
      <c r="M5" s="398"/>
      <c r="N5" s="399"/>
      <c r="O5" s="398"/>
      <c r="P5" s="400"/>
      <c r="Q5" s="401"/>
      <c r="R5" s="403"/>
      <c r="S5" s="402"/>
      <c r="T5" s="403"/>
      <c r="U5" s="403"/>
      <c r="V5" s="403"/>
      <c r="W5" s="403"/>
      <c r="X5" s="403"/>
      <c r="Y5" s="403"/>
      <c r="Z5" s="403"/>
    </row>
    <row r="6" spans="1:26" s="412" customFormat="1" ht="18.75" customHeight="1">
      <c r="A6" s="406">
        <v>1</v>
      </c>
      <c r="B6" s="407">
        <v>2</v>
      </c>
      <c r="C6" s="408">
        <v>3</v>
      </c>
      <c r="D6" s="408">
        <v>4</v>
      </c>
      <c r="E6" s="408">
        <v>5</v>
      </c>
      <c r="F6" s="408">
        <v>6</v>
      </c>
      <c r="G6" s="408">
        <v>7</v>
      </c>
      <c r="H6" s="408">
        <v>8</v>
      </c>
      <c r="I6" s="408">
        <v>9</v>
      </c>
      <c r="J6" s="408">
        <v>10</v>
      </c>
      <c r="K6" s="516">
        <v>11</v>
      </c>
      <c r="L6" s="407">
        <v>12</v>
      </c>
      <c r="M6" s="409"/>
      <c r="N6" s="410"/>
      <c r="O6" s="409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</row>
    <row r="7" spans="1:26" ht="111" customHeight="1">
      <c r="A7" s="510" t="s">
        <v>25</v>
      </c>
      <c r="B7" s="478" t="s">
        <v>90</v>
      </c>
      <c r="C7" s="517">
        <v>28315</v>
      </c>
      <c r="D7" s="556">
        <v>9070.4</v>
      </c>
      <c r="E7" s="556">
        <v>133.19999999999999</v>
      </c>
      <c r="F7" s="556">
        <f>E7+D7+C7</f>
        <v>37518.6</v>
      </c>
      <c r="G7" s="556">
        <v>13310.8</v>
      </c>
      <c r="H7" s="556">
        <v>3072</v>
      </c>
      <c r="I7" s="556">
        <v>133.19999999999999</v>
      </c>
      <c r="J7" s="556">
        <f>G7+H7+I7</f>
        <v>16516</v>
      </c>
      <c r="K7" s="552">
        <f>J7/F7*100</f>
        <v>44.020832333829091</v>
      </c>
      <c r="L7" s="388" t="s">
        <v>411</v>
      </c>
      <c r="M7" s="479">
        <f>124+19.3+165.3+19.3+120.9+200+182.6+220+220+183.4+183.4+120.9+111.8+2.3</f>
        <v>1873.2000000000003</v>
      </c>
      <c r="N7" s="731" t="e">
        <f>M7+#REF!+M8+M10+M12+M13+M14+#REF!</f>
        <v>#REF!</v>
      </c>
      <c r="O7" s="479">
        <v>2.5</v>
      </c>
      <c r="P7" s="733">
        <f>O7+O8+O10+O12+O13+O14+O15</f>
        <v>16516</v>
      </c>
      <c r="Q7" s="477"/>
      <c r="R7" s="413"/>
    </row>
    <row r="8" spans="1:26" ht="96" customHeight="1">
      <c r="A8" s="509"/>
      <c r="B8" s="414"/>
      <c r="C8" s="518"/>
      <c r="D8" s="519"/>
      <c r="E8" s="519"/>
      <c r="F8" s="519"/>
      <c r="G8" s="519"/>
      <c r="H8" s="519"/>
      <c r="I8" s="519"/>
      <c r="J8" s="519"/>
      <c r="K8" s="520"/>
      <c r="L8" s="503" t="s">
        <v>410</v>
      </c>
      <c r="M8" s="489">
        <f>486.3+2.1+203.8</f>
        <v>692.2</v>
      </c>
      <c r="N8" s="732"/>
      <c r="O8" s="489">
        <f>721+1.4+133.2</f>
        <v>855.59999999999991</v>
      </c>
      <c r="P8" s="734"/>
    </row>
    <row r="9" spans="1:26" ht="114" hidden="1" customHeight="1">
      <c r="A9" s="509"/>
      <c r="B9" s="414"/>
      <c r="C9" s="518"/>
      <c r="D9" s="519"/>
      <c r="E9" s="519"/>
      <c r="F9" s="519"/>
      <c r="G9" s="519"/>
      <c r="H9" s="519"/>
      <c r="I9" s="519"/>
      <c r="J9" s="519"/>
      <c r="K9" s="520"/>
      <c r="L9" s="503" t="s">
        <v>359</v>
      </c>
      <c r="M9" s="489"/>
      <c r="N9" s="732"/>
      <c r="O9" s="489"/>
      <c r="P9" s="567"/>
    </row>
    <row r="10" spans="1:26" ht="91.5" customHeight="1">
      <c r="A10" s="509"/>
      <c r="B10" s="414"/>
      <c r="C10" s="518"/>
      <c r="D10" s="519"/>
      <c r="E10" s="519"/>
      <c r="F10" s="519"/>
      <c r="G10" s="519"/>
      <c r="H10" s="519"/>
      <c r="I10" s="519"/>
      <c r="J10" s="519"/>
      <c r="K10" s="520"/>
      <c r="L10" s="419" t="s">
        <v>360</v>
      </c>
      <c r="M10" s="489">
        <v>30</v>
      </c>
      <c r="N10" s="732"/>
      <c r="O10" s="489">
        <v>150</v>
      </c>
      <c r="P10" s="567"/>
    </row>
    <row r="11" spans="1:26" ht="91.5" hidden="1" customHeight="1">
      <c r="A11" s="509"/>
      <c r="B11" s="414"/>
      <c r="C11" s="518"/>
      <c r="D11" s="519"/>
      <c r="E11" s="519"/>
      <c r="F11" s="519"/>
      <c r="G11" s="519"/>
      <c r="H11" s="519"/>
      <c r="I11" s="519"/>
      <c r="J11" s="519"/>
      <c r="K11" s="520"/>
      <c r="L11" s="419" t="s">
        <v>361</v>
      </c>
      <c r="M11" s="489"/>
      <c r="N11" s="732"/>
      <c r="O11" s="489"/>
      <c r="P11" s="567"/>
    </row>
    <row r="12" spans="1:26" ht="264" customHeight="1">
      <c r="A12" s="417"/>
      <c r="B12" s="418"/>
      <c r="C12" s="521"/>
      <c r="D12" s="522"/>
      <c r="E12" s="522"/>
      <c r="F12" s="519"/>
      <c r="G12" s="522"/>
      <c r="H12" s="522"/>
      <c r="I12" s="522"/>
      <c r="J12" s="519"/>
      <c r="K12" s="520"/>
      <c r="L12" s="419" t="s">
        <v>464</v>
      </c>
      <c r="M12" s="489">
        <f>4942.6+106+128.5+1407.2+951.4+64.6+90.4+3.2+4.5+156.4+146.1+10.2+3.3</f>
        <v>8014.4</v>
      </c>
      <c r="N12" s="732"/>
      <c r="O12" s="489">
        <f>4672.7+31.2+1320.1+93+46.3+6.9+7.4+364.7+976.9+3.4</f>
        <v>7522.5999999999985</v>
      </c>
      <c r="P12" s="734"/>
      <c r="R12" s="403"/>
    </row>
    <row r="13" spans="1:26" ht="46.5" customHeight="1">
      <c r="A13" s="417"/>
      <c r="B13" s="418"/>
      <c r="C13" s="521"/>
      <c r="D13" s="522"/>
      <c r="E13" s="522"/>
      <c r="F13" s="519"/>
      <c r="G13" s="522"/>
      <c r="H13" s="522"/>
      <c r="I13" s="522"/>
      <c r="J13" s="519"/>
      <c r="K13" s="520"/>
      <c r="L13" s="419" t="s">
        <v>407</v>
      </c>
      <c r="M13" s="489">
        <v>146.30000000000001</v>
      </c>
      <c r="N13" s="732"/>
      <c r="O13" s="489">
        <v>44.3</v>
      </c>
      <c r="P13" s="734"/>
    </row>
    <row r="14" spans="1:26" ht="93" customHeight="1">
      <c r="A14" s="417"/>
      <c r="B14" s="418"/>
      <c r="C14" s="521"/>
      <c r="D14" s="522"/>
      <c r="E14" s="522"/>
      <c r="F14" s="519"/>
      <c r="G14" s="522"/>
      <c r="H14" s="522"/>
      <c r="I14" s="522"/>
      <c r="J14" s="519"/>
      <c r="K14" s="520"/>
      <c r="L14" s="419" t="s">
        <v>409</v>
      </c>
      <c r="M14" s="489">
        <f>562.7+169.9+1453.2+23.2+3+102.8+28+5.5+0.2</f>
        <v>2348.5</v>
      </c>
      <c r="N14" s="732"/>
      <c r="O14" s="489">
        <f>572.4+3.1+172.9+2296.4+8.9+16.9</f>
        <v>3070.6000000000004</v>
      </c>
      <c r="P14" s="734"/>
      <c r="R14" s="403"/>
    </row>
    <row r="15" spans="1:26" ht="72.75" customHeight="1">
      <c r="A15" s="417"/>
      <c r="B15" s="418"/>
      <c r="C15" s="521"/>
      <c r="D15" s="522"/>
      <c r="E15" s="522"/>
      <c r="F15" s="519"/>
      <c r="G15" s="522"/>
      <c r="H15" s="522"/>
      <c r="I15" s="522"/>
      <c r="J15" s="519"/>
      <c r="K15" s="580"/>
      <c r="L15" s="419" t="s">
        <v>408</v>
      </c>
      <c r="M15" s="490"/>
      <c r="N15" s="590"/>
      <c r="O15" s="490">
        <f>4870.4</f>
        <v>4870.3999999999996</v>
      </c>
      <c r="P15" s="591"/>
      <c r="Q15" s="592"/>
      <c r="R15" s="403"/>
    </row>
    <row r="16" spans="1:26" ht="131.25" customHeight="1">
      <c r="A16" s="420" t="s">
        <v>26</v>
      </c>
      <c r="B16" s="421" t="s">
        <v>85</v>
      </c>
      <c r="C16" s="523">
        <v>132.19999999999999</v>
      </c>
      <c r="D16" s="523">
        <v>1470</v>
      </c>
      <c r="E16" s="523"/>
      <c r="F16" s="523">
        <f>E16+D16+C16</f>
        <v>1602.2</v>
      </c>
      <c r="G16" s="523">
        <v>30</v>
      </c>
      <c r="H16" s="523">
        <v>1470</v>
      </c>
      <c r="I16" s="523"/>
      <c r="J16" s="523">
        <f>SUM(G16:I16)</f>
        <v>1500</v>
      </c>
      <c r="K16" s="524">
        <f>J16/F16*100</f>
        <v>93.62127075271502</v>
      </c>
      <c r="L16" s="504" t="s">
        <v>365</v>
      </c>
      <c r="O16" s="389">
        <f>30+1470</f>
        <v>1500</v>
      </c>
      <c r="P16" s="562">
        <f>J16-O16</f>
        <v>0</v>
      </c>
    </row>
    <row r="17" spans="1:20" ht="95.25" customHeight="1">
      <c r="A17" s="420" t="s">
        <v>27</v>
      </c>
      <c r="B17" s="423" t="s">
        <v>84</v>
      </c>
      <c r="C17" s="523">
        <f t="shared" ref="C17:J17" si="0">C18+C47+C51</f>
        <v>386620.3</v>
      </c>
      <c r="D17" s="523">
        <f t="shared" si="0"/>
        <v>874604.9</v>
      </c>
      <c r="E17" s="523">
        <f t="shared" si="0"/>
        <v>119545.1</v>
      </c>
      <c r="F17" s="523">
        <f t="shared" si="0"/>
        <v>1380770.3</v>
      </c>
      <c r="G17" s="523">
        <f t="shared" si="0"/>
        <v>229595.6</v>
      </c>
      <c r="H17" s="523">
        <f t="shared" si="0"/>
        <v>495535.6</v>
      </c>
      <c r="I17" s="523">
        <f t="shared" si="0"/>
        <v>77563.7</v>
      </c>
      <c r="J17" s="523">
        <f t="shared" si="0"/>
        <v>802694.89999999991</v>
      </c>
      <c r="K17" s="524">
        <f>J17*100/F17</f>
        <v>58.133847461811705</v>
      </c>
      <c r="L17" s="424"/>
      <c r="O17" s="425"/>
      <c r="Q17" s="486"/>
      <c r="R17" s="487"/>
      <c r="S17" s="486"/>
    </row>
    <row r="18" spans="1:20" ht="165" customHeight="1">
      <c r="A18" s="570" t="s">
        <v>58</v>
      </c>
      <c r="B18" s="388" t="s">
        <v>33</v>
      </c>
      <c r="C18" s="525">
        <v>355512.8</v>
      </c>
      <c r="D18" s="525">
        <v>874604.9</v>
      </c>
      <c r="E18" s="525">
        <v>119545.1</v>
      </c>
      <c r="F18" s="526">
        <f>E18+D18+C18</f>
        <v>1349662.8</v>
      </c>
      <c r="G18" s="525">
        <v>210989.4</v>
      </c>
      <c r="H18" s="525">
        <v>495535.6</v>
      </c>
      <c r="I18" s="525">
        <v>77563.7</v>
      </c>
      <c r="J18" s="526">
        <f>G18+H18+I18</f>
        <v>784088.7</v>
      </c>
      <c r="K18" s="552">
        <f>J18*100/F18</f>
        <v>58.095155323240739</v>
      </c>
      <c r="L18" s="607" t="s">
        <v>435</v>
      </c>
      <c r="M18" s="479">
        <f>26980.6+43.6+157.3+9698.1+1438.9+583.6+2486.6+67.4+1200.4</f>
        <v>42656.5</v>
      </c>
      <c r="N18" s="735">
        <f>SUM(M18:M46)</f>
        <v>742983.59999999986</v>
      </c>
      <c r="O18" s="511">
        <f>35823.2+118.5+168.2+8944+1783+624+2121.7+84.5+1117.81</f>
        <v>50784.909999999989</v>
      </c>
      <c r="P18" s="514">
        <f>O18+O19+O20+O21+O22+O23+O24+O25+O26+O27+O29+O28+O30+O31+O32+O33+O35+O37+O38+O39+O40+O44+O45+O46+O34+O41+O42</f>
        <v>784088.7</v>
      </c>
      <c r="Q18" s="485">
        <f>J18-P18</f>
        <v>0</v>
      </c>
      <c r="R18" s="486"/>
      <c r="S18" s="486"/>
    </row>
    <row r="19" spans="1:20" s="391" customFormat="1" ht="108" customHeight="1">
      <c r="A19" s="417"/>
      <c r="B19" s="415"/>
      <c r="C19" s="527"/>
      <c r="D19" s="527"/>
      <c r="E19" s="527"/>
      <c r="F19" s="528"/>
      <c r="G19" s="527"/>
      <c r="H19" s="527"/>
      <c r="I19" s="527"/>
      <c r="J19" s="528"/>
      <c r="K19" s="520"/>
      <c r="L19" s="503" t="s">
        <v>372</v>
      </c>
      <c r="M19" s="489"/>
      <c r="N19" s="736"/>
      <c r="O19" s="512">
        <f>150+150</f>
        <v>300</v>
      </c>
      <c r="P19" s="567"/>
      <c r="Q19" s="569"/>
    </row>
    <row r="20" spans="1:20" s="391" customFormat="1" ht="166.5" customHeight="1">
      <c r="A20" s="426"/>
      <c r="B20" s="415"/>
      <c r="C20" s="527"/>
      <c r="D20" s="527"/>
      <c r="E20" s="527"/>
      <c r="F20" s="528"/>
      <c r="G20" s="527"/>
      <c r="H20" s="527"/>
      <c r="I20" s="527"/>
      <c r="J20" s="528"/>
      <c r="K20" s="520"/>
      <c r="L20" s="415" t="s">
        <v>436</v>
      </c>
      <c r="M20" s="489">
        <f>106+199.1+122.1+138.3+23.4+8.4+161.6+130+55+37.9+4+9.5+3.8+122.4+40+2510.2+86.5+68.7+35+154.2+13.6+597.8+1133.3+1410.6+5+5</f>
        <v>7181.4</v>
      </c>
      <c r="N20" s="736"/>
      <c r="O20" s="513">
        <f>2.7+4.8+4.2+7.8+29.13+49.47+2.5+2.5+2.5+0.95+175.6+152.17</f>
        <v>434.31999999999994</v>
      </c>
      <c r="P20" s="567"/>
      <c r="Q20" s="569"/>
    </row>
    <row r="21" spans="1:20" s="391" customFormat="1" ht="113.25" customHeight="1">
      <c r="A21" s="426"/>
      <c r="B21" s="415"/>
      <c r="C21" s="527"/>
      <c r="D21" s="527"/>
      <c r="E21" s="527"/>
      <c r="F21" s="528"/>
      <c r="G21" s="527"/>
      <c r="H21" s="527"/>
      <c r="I21" s="527"/>
      <c r="J21" s="528"/>
      <c r="K21" s="520"/>
      <c r="L21" s="415" t="s">
        <v>437</v>
      </c>
      <c r="M21" s="489">
        <f>97856.7+35.25+1347.53+947.24+28.09</f>
        <v>100214.81</v>
      </c>
      <c r="N21" s="736"/>
      <c r="O21" s="512">
        <f>89974.7+100.5+738.01+1247.6</f>
        <v>92060.81</v>
      </c>
      <c r="P21" s="567"/>
      <c r="Q21" s="569"/>
    </row>
    <row r="22" spans="1:20" s="391" customFormat="1" ht="85.5" customHeight="1">
      <c r="A22" s="426"/>
      <c r="B22" s="415"/>
      <c r="C22" s="527"/>
      <c r="D22" s="527"/>
      <c r="E22" s="527"/>
      <c r="F22" s="528"/>
      <c r="G22" s="527"/>
      <c r="H22" s="527"/>
      <c r="I22" s="527"/>
      <c r="J22" s="528"/>
      <c r="K22" s="520"/>
      <c r="L22" s="503" t="s">
        <v>438</v>
      </c>
      <c r="M22" s="489"/>
      <c r="N22" s="736"/>
      <c r="O22" s="512">
        <f>1.04+50.86</f>
        <v>51.9</v>
      </c>
      <c r="P22" s="567"/>
      <c r="Q22" s="569"/>
    </row>
    <row r="23" spans="1:20" s="391" customFormat="1" ht="153.75" customHeight="1">
      <c r="A23" s="426"/>
      <c r="B23" s="415"/>
      <c r="C23" s="527"/>
      <c r="D23" s="527"/>
      <c r="E23" s="527"/>
      <c r="F23" s="528"/>
      <c r="G23" s="527"/>
      <c r="H23" s="527"/>
      <c r="I23" s="527"/>
      <c r="J23" s="528"/>
      <c r="K23" s="520"/>
      <c r="L23" s="415" t="s">
        <v>439</v>
      </c>
      <c r="M23" s="489">
        <f>37256.75+165.4+1576.31+37236.23+36.3+7690.44+4011.3+7496.32+302.86+10829.39</f>
        <v>106601.30000000002</v>
      </c>
      <c r="N23" s="736"/>
      <c r="O23" s="512">
        <f>50431.6+156.2+1913.7+37783+192.6+7512+3570.1+207.3+6963.3+197.6+10875.2</f>
        <v>119802.60000000002</v>
      </c>
      <c r="P23" s="497"/>
      <c r="Q23" s="498"/>
    </row>
    <row r="24" spans="1:20" s="391" customFormat="1" ht="129.75" customHeight="1">
      <c r="A24" s="426"/>
      <c r="B24" s="415"/>
      <c r="C24" s="527"/>
      <c r="D24" s="527"/>
      <c r="E24" s="527"/>
      <c r="F24" s="528"/>
      <c r="G24" s="527"/>
      <c r="H24" s="527"/>
      <c r="I24" s="527"/>
      <c r="J24" s="528"/>
      <c r="K24" s="520"/>
      <c r="L24" s="503" t="s">
        <v>452</v>
      </c>
      <c r="M24" s="489"/>
      <c r="N24" s="736"/>
      <c r="O24" s="512">
        <f>7.9+7.9+7.9+7.9+105.92+7.9+138.03</f>
        <v>283.45000000000005</v>
      </c>
      <c r="P24" s="497"/>
      <c r="Q24" s="498"/>
    </row>
    <row r="25" spans="1:20" s="391" customFormat="1" ht="214.5" customHeight="1">
      <c r="A25" s="426"/>
      <c r="B25" s="415"/>
      <c r="C25" s="527"/>
      <c r="D25" s="527"/>
      <c r="E25" s="527"/>
      <c r="F25" s="528"/>
      <c r="G25" s="527"/>
      <c r="H25" s="527"/>
      <c r="I25" s="527"/>
      <c r="J25" s="528"/>
      <c r="K25" s="529"/>
      <c r="L25" s="427" t="s">
        <v>453</v>
      </c>
      <c r="M25" s="489">
        <f>538.42+136+23.1+70+599.99+58+282.39+4+4+18+13+13+70+140+70+50+70+70+1202.4+70+70+70+199.87+383.88+1+4+8.5+15+24.5+25+38.5+45+55.8+29.7+575.13+585.97+570.62+200+549.28+157.35+19.04+44.12</f>
        <v>7174.56</v>
      </c>
      <c r="N25" s="736"/>
      <c r="O25" s="512">
        <f>1.3+3.3+1.8+1.9+4.8+12+8+4+7.6+5.5+4+9.7+105+13.1+129.6+83.7+70.2+31+11.5+32.6+260.7+108.6+252</f>
        <v>1161.9000000000001</v>
      </c>
      <c r="P25" s="483"/>
      <c r="Q25" s="499" t="e">
        <f>O25+#REF!+#REF!+#REF!+#REF!+#REF!+#REF!+#REF!</f>
        <v>#REF!</v>
      </c>
      <c r="R25" s="444"/>
      <c r="T25" s="413"/>
    </row>
    <row r="26" spans="1:20" s="391" customFormat="1" ht="50.25" customHeight="1">
      <c r="A26" s="426"/>
      <c r="B26" s="415"/>
      <c r="C26" s="527"/>
      <c r="D26" s="527"/>
      <c r="E26" s="527"/>
      <c r="F26" s="528"/>
      <c r="G26" s="527"/>
      <c r="H26" s="527"/>
      <c r="I26" s="527"/>
      <c r="J26" s="528"/>
      <c r="K26" s="529"/>
      <c r="L26" s="427" t="s">
        <v>371</v>
      </c>
      <c r="M26" s="489"/>
      <c r="N26" s="736"/>
      <c r="O26" s="512">
        <f>2.5+10+5+5+12.5</f>
        <v>35</v>
      </c>
      <c r="P26" s="483"/>
      <c r="Q26" s="499"/>
      <c r="R26" s="444"/>
      <c r="T26" s="413"/>
    </row>
    <row r="27" spans="1:20" s="391" customFormat="1" ht="75" customHeight="1">
      <c r="A27" s="426"/>
      <c r="B27" s="415"/>
      <c r="C27" s="527"/>
      <c r="D27" s="527"/>
      <c r="E27" s="527"/>
      <c r="F27" s="528"/>
      <c r="G27" s="527"/>
      <c r="H27" s="527"/>
      <c r="I27" s="527"/>
      <c r="J27" s="528"/>
      <c r="K27" s="529"/>
      <c r="L27" s="427" t="s">
        <v>440</v>
      </c>
      <c r="M27" s="489"/>
      <c r="N27" s="736"/>
      <c r="O27" s="512">
        <f>148.2+9.9+5.7+7.6+12+565+125</f>
        <v>873.4</v>
      </c>
      <c r="P27" s="483"/>
      <c r="Q27" s="499"/>
      <c r="R27" s="444"/>
      <c r="T27" s="413"/>
    </row>
    <row r="28" spans="1:20" s="391" customFormat="1" ht="52.5" customHeight="1">
      <c r="A28" s="426"/>
      <c r="B28" s="415"/>
      <c r="C28" s="527"/>
      <c r="D28" s="527"/>
      <c r="E28" s="527"/>
      <c r="F28" s="528"/>
      <c r="G28" s="527"/>
      <c r="H28" s="527"/>
      <c r="I28" s="527"/>
      <c r="J28" s="528"/>
      <c r="K28" s="529"/>
      <c r="L28" s="427" t="s">
        <v>470</v>
      </c>
      <c r="M28" s="489"/>
      <c r="N28" s="736"/>
      <c r="O28" s="512">
        <f>8.7+2.6+2.5+2+1.7</f>
        <v>17.5</v>
      </c>
      <c r="P28" s="483"/>
      <c r="Q28" s="499"/>
      <c r="R28" s="444"/>
      <c r="T28" s="413"/>
    </row>
    <row r="29" spans="1:20" s="391" customFormat="1" ht="90" customHeight="1">
      <c r="A29" s="426"/>
      <c r="B29" s="415"/>
      <c r="C29" s="527"/>
      <c r="D29" s="527"/>
      <c r="E29" s="527"/>
      <c r="F29" s="528"/>
      <c r="G29" s="527"/>
      <c r="H29" s="527"/>
      <c r="I29" s="527"/>
      <c r="J29" s="528"/>
      <c r="K29" s="529"/>
      <c r="L29" s="427" t="s">
        <v>455</v>
      </c>
      <c r="M29" s="489"/>
      <c r="N29" s="736"/>
      <c r="O29" s="512">
        <f>89+92.13+20.08</f>
        <v>201.20999999999998</v>
      </c>
      <c r="P29" s="483"/>
      <c r="Q29" s="499"/>
      <c r="R29" s="444"/>
      <c r="T29" s="413"/>
    </row>
    <row r="30" spans="1:20" s="391" customFormat="1" ht="108.75" customHeight="1">
      <c r="A30" s="426"/>
      <c r="B30" s="415"/>
      <c r="C30" s="527"/>
      <c r="D30" s="527"/>
      <c r="E30" s="527"/>
      <c r="F30" s="528"/>
      <c r="G30" s="527"/>
      <c r="H30" s="527"/>
      <c r="I30" s="527"/>
      <c r="J30" s="528"/>
      <c r="K30" s="529"/>
      <c r="L30" s="427" t="s">
        <v>450</v>
      </c>
      <c r="M30" s="489">
        <f>410725.05+98.83+2757.79+5476.13+2317.14</f>
        <v>421374.94</v>
      </c>
      <c r="N30" s="736"/>
      <c r="O30" s="512">
        <f>381715.13+98.47+2099.39+3854.97+2992.67</f>
        <v>390760.62999999995</v>
      </c>
      <c r="P30" s="567"/>
      <c r="Q30" s="569"/>
    </row>
    <row r="31" spans="1:20" s="391" customFormat="1" ht="57" customHeight="1">
      <c r="A31" s="426"/>
      <c r="B31" s="415"/>
      <c r="C31" s="527"/>
      <c r="D31" s="527"/>
      <c r="E31" s="527"/>
      <c r="F31" s="528"/>
      <c r="G31" s="527"/>
      <c r="H31" s="527"/>
      <c r="I31" s="527"/>
      <c r="J31" s="528"/>
      <c r="K31" s="529"/>
      <c r="L31" s="608" t="s">
        <v>456</v>
      </c>
      <c r="M31" s="489"/>
      <c r="N31" s="736"/>
      <c r="O31" s="512">
        <v>2269.1</v>
      </c>
      <c r="P31" s="567"/>
      <c r="Q31" s="569"/>
    </row>
    <row r="32" spans="1:20" s="391" customFormat="1" ht="87" customHeight="1">
      <c r="A32" s="426"/>
      <c r="B32" s="415"/>
      <c r="C32" s="527"/>
      <c r="D32" s="527"/>
      <c r="E32" s="527"/>
      <c r="F32" s="528"/>
      <c r="G32" s="527"/>
      <c r="H32" s="527"/>
      <c r="I32" s="527"/>
      <c r="J32" s="528"/>
      <c r="K32" s="529"/>
      <c r="L32" s="608" t="s">
        <v>441</v>
      </c>
      <c r="M32" s="489"/>
      <c r="N32" s="736"/>
      <c r="O32" s="512">
        <f>1871.9+841.5+965.5+181.7+292.2</f>
        <v>4152.8</v>
      </c>
      <c r="P32" s="567"/>
      <c r="Q32" s="569"/>
    </row>
    <row r="33" spans="1:18" s="391" customFormat="1" ht="36" customHeight="1">
      <c r="A33" s="426"/>
      <c r="B33" s="415"/>
      <c r="C33" s="527"/>
      <c r="D33" s="527"/>
      <c r="E33" s="527"/>
      <c r="F33" s="528"/>
      <c r="G33" s="527"/>
      <c r="H33" s="527"/>
      <c r="I33" s="527"/>
      <c r="J33" s="528"/>
      <c r="K33" s="529"/>
      <c r="L33" s="609" t="s">
        <v>451</v>
      </c>
      <c r="M33" s="489">
        <f>1164.9+3143.7</f>
        <v>4308.6000000000004</v>
      </c>
      <c r="N33" s="736"/>
      <c r="O33" s="512">
        <f>1550.56+2005</f>
        <v>3555.56</v>
      </c>
      <c r="P33" s="567"/>
      <c r="Q33" s="569"/>
    </row>
    <row r="34" spans="1:18" s="391" customFormat="1" ht="69.75" customHeight="1">
      <c r="A34" s="426"/>
      <c r="B34" s="415"/>
      <c r="C34" s="527"/>
      <c r="D34" s="527"/>
      <c r="E34" s="527"/>
      <c r="F34" s="528"/>
      <c r="G34" s="527"/>
      <c r="H34" s="527"/>
      <c r="I34" s="527"/>
      <c r="J34" s="528"/>
      <c r="K34" s="529"/>
      <c r="L34" s="609" t="s">
        <v>442</v>
      </c>
      <c r="M34" s="489"/>
      <c r="N34" s="736"/>
      <c r="O34" s="512">
        <v>20</v>
      </c>
      <c r="P34" s="597"/>
      <c r="Q34" s="598"/>
    </row>
    <row r="35" spans="1:18" s="391" customFormat="1" ht="57" customHeight="1">
      <c r="A35" s="426"/>
      <c r="B35" s="415"/>
      <c r="C35" s="527"/>
      <c r="D35" s="527"/>
      <c r="E35" s="527"/>
      <c r="F35" s="528"/>
      <c r="G35" s="527"/>
      <c r="H35" s="527"/>
      <c r="I35" s="527"/>
      <c r="J35" s="528"/>
      <c r="K35" s="529"/>
      <c r="L35" s="610" t="s">
        <v>447</v>
      </c>
      <c r="M35" s="489">
        <f>207.75+2056.75+18510.7</f>
        <v>20775.2</v>
      </c>
      <c r="N35" s="736"/>
      <c r="O35" s="512">
        <f>175.26+173.5+17177.1</f>
        <v>17525.859999999997</v>
      </c>
      <c r="P35" s="567"/>
      <c r="Q35" s="569"/>
    </row>
    <row r="36" spans="1:18" s="391" customFormat="1" ht="66.75" hidden="1" customHeight="1">
      <c r="A36" s="426"/>
      <c r="B36" s="415"/>
      <c r="C36" s="527"/>
      <c r="D36" s="527"/>
      <c r="E36" s="527"/>
      <c r="F36" s="528"/>
      <c r="G36" s="527"/>
      <c r="H36" s="527"/>
      <c r="I36" s="527"/>
      <c r="J36" s="528"/>
      <c r="K36" s="529"/>
      <c r="L36" s="500"/>
      <c r="M36" s="489"/>
      <c r="N36" s="736"/>
      <c r="O36" s="512"/>
      <c r="P36" s="567"/>
      <c r="Q36" s="569"/>
    </row>
    <row r="37" spans="1:18" s="391" customFormat="1" ht="79.5" customHeight="1">
      <c r="A37" s="429"/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27" t="s">
        <v>443</v>
      </c>
      <c r="M37" s="430">
        <f>7699.24+41.88+3+324.29+235.47+3.9+105.98+122.09</f>
        <v>8535.8499999999985</v>
      </c>
      <c r="N37" s="736"/>
      <c r="O37" s="512">
        <f>7762.23+54.79+14.85+345.1+3.6+69.74+121.44</f>
        <v>8371.7500000000018</v>
      </c>
      <c r="P37" s="567"/>
      <c r="Q37" s="569"/>
    </row>
    <row r="38" spans="1:18" s="391" customFormat="1" ht="98.25" customHeight="1">
      <c r="A38" s="429"/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27" t="s">
        <v>454</v>
      </c>
      <c r="M38" s="430">
        <f>20902.69+77.99+6.7+408.7+893.73+1030.36+7.39+187.57+368.06</f>
        <v>23883.190000000002</v>
      </c>
      <c r="N38" s="736"/>
      <c r="O38" s="512">
        <f>23091.2+92.5+480.6+250.3+871.3+11.1+7.7+11.7+433.8</f>
        <v>25250.199999999997</v>
      </c>
      <c r="P38" s="567"/>
      <c r="Q38" s="569"/>
    </row>
    <row r="39" spans="1:18" s="391" customFormat="1" ht="81" customHeight="1">
      <c r="A39" s="429"/>
      <c r="B39" s="415"/>
      <c r="C39" s="527"/>
      <c r="D39" s="527"/>
      <c r="E39" s="527"/>
      <c r="F39" s="528"/>
      <c r="G39" s="527"/>
      <c r="H39" s="527"/>
      <c r="I39" s="527"/>
      <c r="J39" s="528"/>
      <c r="K39" s="529"/>
      <c r="L39" s="427" t="s">
        <v>446</v>
      </c>
      <c r="M39" s="489">
        <f>29.75+247.5</f>
        <v>277.25</v>
      </c>
      <c r="N39" s="736"/>
      <c r="O39" s="512">
        <f>951.67+10+0.7+129+6.86</f>
        <v>1098.2299999999998</v>
      </c>
      <c r="P39" s="567"/>
      <c r="Q39" s="569"/>
    </row>
    <row r="40" spans="1:18" s="391" customFormat="1" ht="90.75" customHeight="1">
      <c r="A40" s="429"/>
      <c r="B40" s="415"/>
      <c r="C40" s="527"/>
      <c r="D40" s="527"/>
      <c r="E40" s="527"/>
      <c r="F40" s="528"/>
      <c r="G40" s="527"/>
      <c r="H40" s="527"/>
      <c r="I40" s="527"/>
      <c r="J40" s="528"/>
      <c r="K40" s="530"/>
      <c r="L40" s="608" t="s">
        <v>444</v>
      </c>
      <c r="M40" s="490"/>
      <c r="N40" s="564"/>
      <c r="O40" s="512">
        <f>552.9+25.72+33.7+10.32</f>
        <v>622.6400000000001</v>
      </c>
      <c r="P40" s="567"/>
      <c r="Q40" s="569"/>
    </row>
    <row r="41" spans="1:18" s="391" customFormat="1" ht="134.25" customHeight="1">
      <c r="A41" s="429"/>
      <c r="B41" s="415"/>
      <c r="C41" s="527"/>
      <c r="D41" s="527"/>
      <c r="E41" s="527"/>
      <c r="F41" s="528"/>
      <c r="G41" s="527"/>
      <c r="H41" s="527"/>
      <c r="I41" s="527"/>
      <c r="J41" s="528"/>
      <c r="K41" s="530"/>
      <c r="L41" s="431" t="s">
        <v>466</v>
      </c>
      <c r="M41" s="490"/>
      <c r="N41" s="602"/>
      <c r="O41" s="512">
        <f>2000+2000</f>
        <v>4000</v>
      </c>
      <c r="P41" s="601"/>
      <c r="Q41" s="603"/>
    </row>
    <row r="42" spans="1:18" s="391" customFormat="1" ht="102" customHeight="1">
      <c r="A42" s="429"/>
      <c r="B42" s="415"/>
      <c r="C42" s="527"/>
      <c r="D42" s="527"/>
      <c r="E42" s="527"/>
      <c r="F42" s="528"/>
      <c r="G42" s="527"/>
      <c r="H42" s="527"/>
      <c r="I42" s="527"/>
      <c r="J42" s="528"/>
      <c r="K42" s="530"/>
      <c r="L42" s="431" t="s">
        <v>467</v>
      </c>
      <c r="M42" s="490"/>
      <c r="N42" s="602"/>
      <c r="O42" s="512">
        <f>25.43+25.2+2492.2</f>
        <v>2542.83</v>
      </c>
      <c r="P42" s="601"/>
      <c r="Q42" s="603"/>
    </row>
    <row r="43" spans="1:18" s="391" customFormat="1" ht="31.5" customHeight="1">
      <c r="A43" s="429"/>
      <c r="B43" s="415"/>
      <c r="C43" s="527"/>
      <c r="D43" s="527"/>
      <c r="E43" s="527"/>
      <c r="F43" s="528"/>
      <c r="G43" s="527"/>
      <c r="H43" s="527"/>
      <c r="I43" s="527"/>
      <c r="J43" s="528"/>
      <c r="K43" s="530"/>
      <c r="L43" s="431" t="s">
        <v>363</v>
      </c>
      <c r="M43" s="490"/>
      <c r="N43" s="564"/>
      <c r="O43" s="484"/>
      <c r="P43" s="567"/>
      <c r="Q43" s="569"/>
    </row>
    <row r="44" spans="1:18" s="391" customFormat="1" ht="131.25" customHeight="1">
      <c r="A44" s="429"/>
      <c r="B44" s="415"/>
      <c r="C44" s="527"/>
      <c r="D44" s="527"/>
      <c r="E44" s="527"/>
      <c r="F44" s="528"/>
      <c r="G44" s="527"/>
      <c r="H44" s="527"/>
      <c r="I44" s="527"/>
      <c r="J44" s="528"/>
      <c r="K44" s="530"/>
      <c r="L44" s="608" t="s">
        <v>448</v>
      </c>
      <c r="M44" s="490"/>
      <c r="N44" s="564"/>
      <c r="O44" s="512">
        <v>651.1</v>
      </c>
      <c r="P44" s="567"/>
      <c r="Q44" s="569"/>
    </row>
    <row r="45" spans="1:18" s="391" customFormat="1" ht="95.25" customHeight="1">
      <c r="A45" s="429"/>
      <c r="B45" s="415"/>
      <c r="C45" s="527"/>
      <c r="D45" s="527"/>
      <c r="E45" s="527"/>
      <c r="F45" s="528"/>
      <c r="G45" s="527"/>
      <c r="H45" s="527"/>
      <c r="I45" s="527"/>
      <c r="J45" s="528"/>
      <c r="K45" s="530"/>
      <c r="L45" s="608" t="s">
        <v>471</v>
      </c>
      <c r="M45" s="490"/>
      <c r="N45" s="564"/>
      <c r="O45" s="512">
        <f>17.7+1750.6</f>
        <v>1768.3</v>
      </c>
      <c r="P45" s="567"/>
      <c r="Q45" s="569"/>
    </row>
    <row r="46" spans="1:18" s="391" customFormat="1" ht="79.5" customHeight="1">
      <c r="A46" s="429"/>
      <c r="B46" s="415"/>
      <c r="C46" s="527"/>
      <c r="D46" s="527"/>
      <c r="E46" s="527"/>
      <c r="F46" s="528"/>
      <c r="G46" s="527"/>
      <c r="H46" s="527"/>
      <c r="I46" s="527"/>
      <c r="J46" s="528"/>
      <c r="K46" s="530"/>
      <c r="L46" s="611" t="s">
        <v>449</v>
      </c>
      <c r="M46" s="490"/>
      <c r="N46" s="564"/>
      <c r="O46" s="512">
        <v>55492.7</v>
      </c>
      <c r="P46" s="567"/>
      <c r="Q46" s="569"/>
    </row>
    <row r="47" spans="1:18" s="391" customFormat="1" ht="125.25" customHeight="1">
      <c r="A47" s="570" t="s">
        <v>59</v>
      </c>
      <c r="B47" s="388" t="s">
        <v>1</v>
      </c>
      <c r="C47" s="501">
        <v>30280.3</v>
      </c>
      <c r="D47" s="501"/>
      <c r="E47" s="501"/>
      <c r="F47" s="556">
        <f>E47+D47+C47</f>
        <v>30280.3</v>
      </c>
      <c r="G47" s="501">
        <v>17859.7</v>
      </c>
      <c r="H47" s="501"/>
      <c r="I47" s="501"/>
      <c r="J47" s="517">
        <f>I47+H47+G47</f>
        <v>17859.7</v>
      </c>
      <c r="K47" s="552">
        <f>J47*100/F47</f>
        <v>58.981251837002937</v>
      </c>
      <c r="L47" s="388" t="s">
        <v>434</v>
      </c>
      <c r="M47" s="479">
        <f>10247+34.2+199.5+108+68.6+7.2+69.2</f>
        <v>10733.700000000003</v>
      </c>
      <c r="N47" s="731" t="e">
        <f>M47+#REF!+#REF!+M49+M50+#REF!</f>
        <v>#REF!</v>
      </c>
      <c r="O47" s="434">
        <f>13253.5+48.25+226.5+85.01+33.57+2.23+52.77</f>
        <v>13701.83</v>
      </c>
      <c r="P47" s="738">
        <f>O47+O49+O50+O48</f>
        <v>17859.7</v>
      </c>
      <c r="Q47" s="496">
        <f>J47-P47</f>
        <v>0</v>
      </c>
      <c r="R47" s="428"/>
    </row>
    <row r="48" spans="1:18" s="391" customFormat="1" ht="70.5" customHeight="1">
      <c r="A48" s="417"/>
      <c r="B48" s="415"/>
      <c r="C48" s="522"/>
      <c r="D48" s="522"/>
      <c r="E48" s="522"/>
      <c r="F48" s="519"/>
      <c r="G48" s="522"/>
      <c r="H48" s="522"/>
      <c r="I48" s="522"/>
      <c r="J48" s="518"/>
      <c r="K48" s="520"/>
      <c r="L48" s="612" t="s">
        <v>433</v>
      </c>
      <c r="M48" s="489"/>
      <c r="N48" s="732"/>
      <c r="O48" s="430">
        <f>4+5+28.9</f>
        <v>37.9</v>
      </c>
      <c r="P48" s="739"/>
      <c r="Q48" s="496"/>
      <c r="R48" s="428"/>
    </row>
    <row r="49" spans="1:17" s="391" customFormat="1" ht="117" customHeight="1">
      <c r="A49" s="429"/>
      <c r="B49" s="415"/>
      <c r="C49" s="522"/>
      <c r="D49" s="522"/>
      <c r="E49" s="522"/>
      <c r="F49" s="519"/>
      <c r="G49" s="522"/>
      <c r="H49" s="522"/>
      <c r="I49" s="522"/>
      <c r="J49" s="518"/>
      <c r="K49" s="520"/>
      <c r="L49" s="613" t="s">
        <v>431</v>
      </c>
      <c r="M49" s="489">
        <f>47+45+154.4</f>
        <v>246.4</v>
      </c>
      <c r="N49" s="732"/>
      <c r="O49" s="489">
        <f>42.4+5+12.4+80+72.25</f>
        <v>212.05</v>
      </c>
      <c r="P49" s="739"/>
      <c r="Q49" s="562"/>
    </row>
    <row r="50" spans="1:17" s="391" customFormat="1" ht="108" customHeight="1">
      <c r="A50" s="429"/>
      <c r="B50" s="415"/>
      <c r="C50" s="522"/>
      <c r="D50" s="522"/>
      <c r="E50" s="522"/>
      <c r="F50" s="519"/>
      <c r="G50" s="522"/>
      <c r="H50" s="522"/>
      <c r="I50" s="522"/>
      <c r="J50" s="518"/>
      <c r="K50" s="520"/>
      <c r="L50" s="613" t="s">
        <v>432</v>
      </c>
      <c r="M50" s="416">
        <v>4175.8999999999996</v>
      </c>
      <c r="N50" s="737"/>
      <c r="O50" s="489">
        <f>3718.73+87.62+101.57</f>
        <v>3907.92</v>
      </c>
      <c r="P50" s="739"/>
      <c r="Q50" s="569"/>
    </row>
    <row r="51" spans="1:17" s="391" customFormat="1" ht="194.25" customHeight="1">
      <c r="A51" s="436" t="s">
        <v>60</v>
      </c>
      <c r="B51" s="506" t="s">
        <v>36</v>
      </c>
      <c r="C51" s="532">
        <v>827.2</v>
      </c>
      <c r="D51" s="547"/>
      <c r="E51" s="532"/>
      <c r="F51" s="523">
        <f>E51+D51+C51</f>
        <v>827.2</v>
      </c>
      <c r="G51" s="532">
        <v>746.5</v>
      </c>
      <c r="H51" s="532"/>
      <c r="I51" s="532"/>
      <c r="J51" s="523">
        <f>I51+H51+G51</f>
        <v>746.5</v>
      </c>
      <c r="K51" s="524">
        <f>J51*100/F51</f>
        <v>90.244197292069629</v>
      </c>
      <c r="L51" s="388" t="s">
        <v>445</v>
      </c>
      <c r="M51" s="437">
        <f>1.1+1+15.3+25.9+33.1+20+7.5+8+21.3+39.4+0.5+8.9</f>
        <v>182.00000000000003</v>
      </c>
      <c r="N51" s="390"/>
      <c r="O51" s="389">
        <f>10.8+20+52.3+2+9+10.5+9.8+5.8+12.76+171+73.4+216+30+23.65+80+11+8.49</f>
        <v>746.5</v>
      </c>
      <c r="P51" s="562">
        <v>557.1</v>
      </c>
      <c r="Q51" s="569"/>
    </row>
    <row r="52" spans="1:17" s="391" customFormat="1" ht="333" customHeight="1">
      <c r="A52" s="510" t="s">
        <v>28</v>
      </c>
      <c r="B52" s="558" t="s">
        <v>83</v>
      </c>
      <c r="C52" s="556">
        <v>7453.2</v>
      </c>
      <c r="D52" s="556">
        <v>384.6</v>
      </c>
      <c r="E52" s="501"/>
      <c r="F52" s="517">
        <f>E52+D52+C52</f>
        <v>7837.8</v>
      </c>
      <c r="G52" s="523">
        <v>5356.3</v>
      </c>
      <c r="H52" s="523">
        <v>229.1</v>
      </c>
      <c r="I52" s="523"/>
      <c r="J52" s="523">
        <f>I52+H52+G52</f>
        <v>5585.4000000000005</v>
      </c>
      <c r="K52" s="524">
        <f>J52*100/F52</f>
        <v>71.262344025109087</v>
      </c>
      <c r="L52" s="506" t="s">
        <v>468</v>
      </c>
      <c r="M52" s="438">
        <f>3822.7+32.8+14+40.9</f>
        <v>3910.4</v>
      </c>
      <c r="N52" s="439"/>
      <c r="O52" s="479">
        <f>4992.3+205+290.1+98</f>
        <v>5585.4000000000005</v>
      </c>
      <c r="P52" s="561"/>
      <c r="Q52" s="563">
        <f>J52-O52</f>
        <v>0</v>
      </c>
    </row>
    <row r="53" spans="1:17" s="391" customFormat="1" ht="78">
      <c r="A53" s="510" t="s">
        <v>29</v>
      </c>
      <c r="B53" s="440" t="s">
        <v>82</v>
      </c>
      <c r="C53" s="523">
        <f t="shared" ref="C53:J53" si="1">C54+C57+C70+C74+C76</f>
        <v>153690.6</v>
      </c>
      <c r="D53" s="523">
        <f t="shared" si="1"/>
        <v>171.7</v>
      </c>
      <c r="E53" s="523">
        <f t="shared" si="1"/>
        <v>8191.2</v>
      </c>
      <c r="F53" s="523">
        <f t="shared" si="1"/>
        <v>162053.5</v>
      </c>
      <c r="G53" s="557">
        <f t="shared" si="1"/>
        <v>100543.8</v>
      </c>
      <c r="H53" s="557">
        <f t="shared" si="1"/>
        <v>160.80000000000001</v>
      </c>
      <c r="I53" s="557">
        <f t="shared" si="1"/>
        <v>7112</v>
      </c>
      <c r="J53" s="557">
        <f t="shared" si="1"/>
        <v>107816.6</v>
      </c>
      <c r="K53" s="553">
        <f>J53*100/F53</f>
        <v>66.531484972555361</v>
      </c>
      <c r="L53" s="435"/>
      <c r="M53" s="389"/>
      <c r="N53" s="390"/>
      <c r="O53" s="389"/>
      <c r="P53" s="562"/>
      <c r="Q53" s="569"/>
    </row>
    <row r="54" spans="1:17" s="391" customFormat="1" ht="286.5" customHeight="1">
      <c r="A54" s="720" t="s">
        <v>61</v>
      </c>
      <c r="B54" s="722" t="s">
        <v>3</v>
      </c>
      <c r="C54" s="525">
        <v>36323.599999999999</v>
      </c>
      <c r="D54" s="525"/>
      <c r="E54" s="525"/>
      <c r="F54" s="526">
        <f>E54+D54+C54</f>
        <v>36323.599999999999</v>
      </c>
      <c r="G54" s="746">
        <v>21715</v>
      </c>
      <c r="H54" s="746"/>
      <c r="I54" s="746"/>
      <c r="J54" s="748">
        <f>I54+H54+G54</f>
        <v>21715</v>
      </c>
      <c r="K54" s="750">
        <f>J54*100/F54</f>
        <v>59.782070059135108</v>
      </c>
      <c r="L54" s="422" t="s">
        <v>401</v>
      </c>
      <c r="M54" s="479">
        <f>10320.32+2957.91+31.2+3.5+63.39+1642.51+215.53+267.9+11.3+196.35+19.45+199+0.4+12.96+0.25+137.03</f>
        <v>16079</v>
      </c>
      <c r="N54" s="752" t="e">
        <f>M54+M55+#REF!+#REF!+#REF!</f>
        <v>#REF!</v>
      </c>
      <c r="O54" s="479">
        <f>12582.03+18.93+3666.64+105.1+1528.28+519.87+407.47+186.86+10.98+297.3+11.41+69.18+157.65+713</f>
        <v>20274.7</v>
      </c>
      <c r="P54" s="568">
        <f>O54+O55+O56</f>
        <v>21715</v>
      </c>
      <c r="Q54" s="477">
        <f>J54-P54</f>
        <v>0</v>
      </c>
    </row>
    <row r="55" spans="1:17" s="391" customFormat="1" ht="409.5" customHeight="1">
      <c r="A55" s="721"/>
      <c r="B55" s="723"/>
      <c r="C55" s="533"/>
      <c r="D55" s="533"/>
      <c r="E55" s="533"/>
      <c r="F55" s="534"/>
      <c r="G55" s="747"/>
      <c r="H55" s="747"/>
      <c r="I55" s="747"/>
      <c r="J55" s="749"/>
      <c r="K55" s="751"/>
      <c r="L55" s="388" t="s">
        <v>472</v>
      </c>
      <c r="M55" s="488">
        <f>1.5+27.08+10+35.78+384.4+34.9+8.1+9.84+4.31+150+4+7+3+6.65+6.96+37.52+4.42+9.9+17.92+3+10.45+25+10.39</f>
        <v>812.11999999999989</v>
      </c>
      <c r="N55" s="736"/>
      <c r="O55" s="416">
        <f>5+1.8+2+10.75+5.38+5+1.97+68.08+2.6+75.53+16.81+5+125+1.94+70.8+36.13+24.49+20.3+11.99+10.5+10.94+10.94+10.94+58.8+39.42+10+5+11+3.5+28.97+125+6+257.06+3+5+2.5+5+16.56</f>
        <v>1110.7</v>
      </c>
      <c r="P55" s="566"/>
      <c r="Q55" s="560"/>
    </row>
    <row r="56" spans="1:17" s="391" customFormat="1" ht="116.25" customHeight="1">
      <c r="A56" s="417"/>
      <c r="B56" s="589"/>
      <c r="C56" s="527"/>
      <c r="D56" s="527"/>
      <c r="E56" s="527"/>
      <c r="F56" s="528"/>
      <c r="G56" s="581"/>
      <c r="H56" s="581"/>
      <c r="I56" s="581"/>
      <c r="J56" s="582"/>
      <c r="K56" s="580"/>
      <c r="L56" s="614" t="s">
        <v>402</v>
      </c>
      <c r="M56" s="488"/>
      <c r="N56" s="585"/>
      <c r="O56" s="489">
        <v>329.6</v>
      </c>
      <c r="P56" s="586"/>
      <c r="Q56" s="584"/>
    </row>
    <row r="57" spans="1:17" s="391" customFormat="1" ht="227.25" customHeight="1">
      <c r="A57" s="570" t="s">
        <v>62</v>
      </c>
      <c r="B57" s="572" t="s">
        <v>2</v>
      </c>
      <c r="C57" s="501">
        <v>53344</v>
      </c>
      <c r="D57" s="501">
        <v>171.7</v>
      </c>
      <c r="E57" s="501">
        <v>8191.2</v>
      </c>
      <c r="F57" s="556">
        <f>E57+D57+C57</f>
        <v>61706.9</v>
      </c>
      <c r="G57" s="501">
        <v>34364.9</v>
      </c>
      <c r="H57" s="501">
        <v>160.80000000000001</v>
      </c>
      <c r="I57" s="501">
        <v>7112</v>
      </c>
      <c r="J57" s="556">
        <f>G57+I57+H57</f>
        <v>41637.700000000004</v>
      </c>
      <c r="K57" s="552">
        <f>J57*100/F57</f>
        <v>67.476570691446184</v>
      </c>
      <c r="L57" s="604" t="s">
        <v>403</v>
      </c>
      <c r="M57" s="479">
        <f>17176.33+4967.85+144.27+916.2+165.06+77.19+95.4+9.45+79.96+1.72+229.17</f>
        <v>23862.600000000002</v>
      </c>
      <c r="N57" s="753">
        <f>SUM(M57:M65)</f>
        <v>31436.95</v>
      </c>
      <c r="O57" s="479">
        <f>18811.56+31.9+5357.75+581.7+760.16+132.62+226.49+81.95+32.2+34.1+27.76+33.4+187.77</f>
        <v>26299.360000000004</v>
      </c>
      <c r="P57" s="495">
        <f>O58+O57+O61+O62+O63+O64+O65+O66+O67+O68+O69+O59+O60</f>
        <v>41637.700000000004</v>
      </c>
      <c r="Q57" s="477">
        <f>J57-P57</f>
        <v>0</v>
      </c>
    </row>
    <row r="58" spans="1:17" s="391" customFormat="1" ht="141" customHeight="1">
      <c r="A58" s="417"/>
      <c r="B58" s="442"/>
      <c r="C58" s="522"/>
      <c r="D58" s="522"/>
      <c r="E58" s="522"/>
      <c r="F58" s="519"/>
      <c r="G58" s="522"/>
      <c r="H58" s="522"/>
      <c r="I58" s="522"/>
      <c r="J58" s="519"/>
      <c r="K58" s="520"/>
      <c r="L58" s="605" t="s">
        <v>457</v>
      </c>
      <c r="M58" s="489">
        <f>26.5+31.34+50+9.37+30+524.58+0.83+234.4+7.3+91.5+93.9+77.8+4.08+4.59+200+39.99+35.96+14.71+11.97+117.28</f>
        <v>1606.1</v>
      </c>
      <c r="N58" s="754"/>
      <c r="O58" s="489">
        <f>60+40.62+6+20+82.86+22.8+46.88+449.82+240</f>
        <v>968.98</v>
      </c>
      <c r="P58" s="567"/>
      <c r="Q58" s="569"/>
    </row>
    <row r="59" spans="1:17" s="391" customFormat="1" ht="60.75" customHeight="1">
      <c r="A59" s="417"/>
      <c r="B59" s="442"/>
      <c r="C59" s="522"/>
      <c r="D59" s="522"/>
      <c r="E59" s="522"/>
      <c r="F59" s="519"/>
      <c r="G59" s="522"/>
      <c r="H59" s="522"/>
      <c r="I59" s="522"/>
      <c r="J59" s="519"/>
      <c r="K59" s="520"/>
      <c r="L59" s="615" t="s">
        <v>405</v>
      </c>
      <c r="M59" s="489"/>
      <c r="N59" s="754"/>
      <c r="O59" s="489">
        <v>89</v>
      </c>
      <c r="P59" s="567"/>
      <c r="Q59" s="569"/>
    </row>
    <row r="60" spans="1:17" s="391" customFormat="1" ht="72.75" customHeight="1">
      <c r="A60" s="417"/>
      <c r="B60" s="442"/>
      <c r="C60" s="522"/>
      <c r="D60" s="522"/>
      <c r="E60" s="522"/>
      <c r="F60" s="519"/>
      <c r="G60" s="522"/>
      <c r="H60" s="522"/>
      <c r="I60" s="522"/>
      <c r="J60" s="519"/>
      <c r="K60" s="580"/>
      <c r="L60" s="615" t="s">
        <v>459</v>
      </c>
      <c r="M60" s="489"/>
      <c r="N60" s="754"/>
      <c r="O60" s="489">
        <f>1.24+1.2+121.2</f>
        <v>123.64</v>
      </c>
      <c r="P60" s="587"/>
      <c r="Q60" s="588"/>
    </row>
    <row r="61" spans="1:17" s="391" customFormat="1" ht="93.75" customHeight="1">
      <c r="A61" s="417"/>
      <c r="B61" s="442"/>
      <c r="C61" s="522"/>
      <c r="D61" s="522"/>
      <c r="E61" s="522"/>
      <c r="F61" s="519"/>
      <c r="G61" s="522"/>
      <c r="H61" s="522"/>
      <c r="I61" s="522"/>
      <c r="J61" s="519"/>
      <c r="K61" s="520"/>
      <c r="L61" s="615" t="s">
        <v>458</v>
      </c>
      <c r="M61" s="489"/>
      <c r="N61" s="754"/>
      <c r="O61" s="489">
        <f>0.51+0.5+50</f>
        <v>51.01</v>
      </c>
      <c r="P61" s="567"/>
      <c r="Q61" s="569"/>
    </row>
    <row r="62" spans="1:17" s="391" customFormat="1" ht="87.75" customHeight="1">
      <c r="A62" s="417"/>
      <c r="B62" s="442"/>
      <c r="C62" s="522"/>
      <c r="D62" s="522"/>
      <c r="E62" s="522"/>
      <c r="F62" s="519"/>
      <c r="G62" s="522"/>
      <c r="H62" s="522"/>
      <c r="I62" s="522"/>
      <c r="J62" s="519"/>
      <c r="K62" s="520"/>
      <c r="L62" s="605" t="s">
        <v>460</v>
      </c>
      <c r="M62" s="489">
        <f>6.79+332.5</f>
        <v>339.29</v>
      </c>
      <c r="N62" s="754"/>
      <c r="O62" s="489">
        <f>1.02+1+100</f>
        <v>102.02</v>
      </c>
      <c r="P62" s="567"/>
      <c r="Q62" s="569"/>
    </row>
    <row r="63" spans="1:17" s="391" customFormat="1" ht="71.25" customHeight="1">
      <c r="A63" s="417"/>
      <c r="B63" s="442"/>
      <c r="C63" s="522"/>
      <c r="D63" s="522"/>
      <c r="E63" s="522"/>
      <c r="F63" s="519"/>
      <c r="G63" s="522"/>
      <c r="H63" s="522"/>
      <c r="I63" s="522"/>
      <c r="J63" s="519"/>
      <c r="K63" s="520"/>
      <c r="L63" s="615" t="s">
        <v>469</v>
      </c>
      <c r="M63" s="489"/>
      <c r="N63" s="754"/>
      <c r="O63" s="489">
        <v>500</v>
      </c>
      <c r="P63" s="567"/>
      <c r="Q63" s="569"/>
    </row>
    <row r="64" spans="1:17" s="391" customFormat="1" ht="272.25" customHeight="1">
      <c r="A64" s="417"/>
      <c r="B64" s="442"/>
      <c r="C64" s="522"/>
      <c r="D64" s="522"/>
      <c r="E64" s="522"/>
      <c r="F64" s="519"/>
      <c r="G64" s="522"/>
      <c r="H64" s="522"/>
      <c r="I64" s="522"/>
      <c r="J64" s="519"/>
      <c r="K64" s="520"/>
      <c r="L64" s="605" t="s">
        <v>461</v>
      </c>
      <c r="M64" s="489">
        <f>1835.14+527.19+26.66+204.47+102.85+134.34+113.93+144.55+19.09+28.5+12.89+0.09+4.37+24.43+1.13</f>
        <v>3179.6299999999997</v>
      </c>
      <c r="N64" s="754"/>
      <c r="O64" s="489">
        <f>2355.67+8.66+675.7+33.02+183.72+163.06+171.48+24.76+197.42+46.24+109.81+59.18+75.07+0.25</f>
        <v>4104.0399999999991</v>
      </c>
      <c r="P64" s="567"/>
      <c r="Q64" s="569"/>
    </row>
    <row r="65" spans="1:19" s="391" customFormat="1" ht="348" customHeight="1">
      <c r="A65" s="417"/>
      <c r="B65" s="442"/>
      <c r="C65" s="522"/>
      <c r="D65" s="522"/>
      <c r="E65" s="522"/>
      <c r="F65" s="519"/>
      <c r="G65" s="522"/>
      <c r="H65" s="522"/>
      <c r="I65" s="522"/>
      <c r="J65" s="519"/>
      <c r="K65" s="520"/>
      <c r="L65" s="605" t="s">
        <v>406</v>
      </c>
      <c r="M65" s="488">
        <f>3.46+13+2.4+20+4.5+11+50+5.1+10.5+2.1+500+220+32.66+8.85+25+2+22+22+5.4+24.6+8.4+17.03+27.61+1299.96+4.9+23.2+8+5.21+10.6+9.25+50.6</f>
        <v>2449.3299999999995</v>
      </c>
      <c r="N65" s="754"/>
      <c r="O65" s="416">
        <f>3.25+1.14+3+4.2+49+1.6+3+2.68+3+2.03+5+90+2.01+300+45+585.68+2+1.91+2.14+2.61+10+2+21+8.5+9+2+2+5+2+10+2.08+11.5+10.5</f>
        <v>1204.83</v>
      </c>
      <c r="P65" s="566"/>
      <c r="Q65" s="560"/>
    </row>
    <row r="66" spans="1:19" s="391" customFormat="1" ht="90.75" customHeight="1">
      <c r="A66" s="417"/>
      <c r="B66" s="442"/>
      <c r="C66" s="522"/>
      <c r="D66" s="522"/>
      <c r="E66" s="522"/>
      <c r="F66" s="519"/>
      <c r="G66" s="522"/>
      <c r="H66" s="522"/>
      <c r="I66" s="522"/>
      <c r="J66" s="519"/>
      <c r="K66" s="520"/>
      <c r="L66" s="615" t="s">
        <v>473</v>
      </c>
      <c r="M66" s="488"/>
      <c r="N66" s="565"/>
      <c r="O66" s="489">
        <f>42+15+30+15+15+42</f>
        <v>159</v>
      </c>
      <c r="P66" s="567"/>
      <c r="Q66" s="560"/>
    </row>
    <row r="67" spans="1:19" s="391" customFormat="1" ht="92.25" customHeight="1">
      <c r="A67" s="417"/>
      <c r="B67" s="442"/>
      <c r="C67" s="522"/>
      <c r="D67" s="522"/>
      <c r="E67" s="522"/>
      <c r="F67" s="519"/>
      <c r="G67" s="522"/>
      <c r="H67" s="522"/>
      <c r="I67" s="522"/>
      <c r="J67" s="519"/>
      <c r="K67" s="520"/>
      <c r="L67" s="615" t="s">
        <v>404</v>
      </c>
      <c r="M67" s="488"/>
      <c r="N67" s="565"/>
      <c r="O67" s="489">
        <f>10+46.12</f>
        <v>56.12</v>
      </c>
      <c r="P67" s="567"/>
      <c r="Q67" s="560"/>
    </row>
    <row r="68" spans="1:19" s="391" customFormat="1" ht="98.25" customHeight="1">
      <c r="A68" s="417"/>
      <c r="B68" s="442"/>
      <c r="C68" s="522"/>
      <c r="D68" s="522"/>
      <c r="E68" s="522"/>
      <c r="F68" s="519"/>
      <c r="G68" s="522"/>
      <c r="H68" s="522"/>
      <c r="I68" s="522"/>
      <c r="J68" s="519"/>
      <c r="K68" s="520"/>
      <c r="L68" s="615" t="s">
        <v>474</v>
      </c>
      <c r="M68" s="488"/>
      <c r="N68" s="565"/>
      <c r="O68" s="489">
        <f>450+100+100+100+250</f>
        <v>1000</v>
      </c>
      <c r="P68" s="567"/>
      <c r="Q68" s="560"/>
    </row>
    <row r="69" spans="1:19" s="391" customFormat="1" ht="98.25" customHeight="1">
      <c r="A69" s="417"/>
      <c r="B69" s="442"/>
      <c r="C69" s="522"/>
      <c r="D69" s="522"/>
      <c r="E69" s="522"/>
      <c r="F69" s="519"/>
      <c r="G69" s="522"/>
      <c r="H69" s="522"/>
      <c r="I69" s="522"/>
      <c r="J69" s="519"/>
      <c r="K69" s="520"/>
      <c r="L69" s="615" t="s">
        <v>462</v>
      </c>
      <c r="M69" s="488"/>
      <c r="N69" s="565"/>
      <c r="O69" s="489">
        <f>69.1+69.8+6840.8</f>
        <v>6979.7</v>
      </c>
      <c r="P69" s="567"/>
      <c r="Q69" s="560"/>
    </row>
    <row r="70" spans="1:19" s="391" customFormat="1" ht="156" customHeight="1">
      <c r="A70" s="570" t="s">
        <v>63</v>
      </c>
      <c r="B70" s="443" t="s">
        <v>4</v>
      </c>
      <c r="C70" s="501">
        <v>23012.1</v>
      </c>
      <c r="D70" s="501"/>
      <c r="E70" s="501"/>
      <c r="F70" s="556">
        <f>E70+D70+C70</f>
        <v>23012.1</v>
      </c>
      <c r="G70" s="501">
        <v>15975.7</v>
      </c>
      <c r="H70" s="501"/>
      <c r="I70" s="501"/>
      <c r="J70" s="556">
        <f>G70+H70+I70</f>
        <v>15975.7</v>
      </c>
      <c r="K70" s="552">
        <f>J70/F70*100</f>
        <v>69.423042660165748</v>
      </c>
      <c r="L70" s="616" t="s">
        <v>463</v>
      </c>
      <c r="M70" s="479">
        <v>342.5</v>
      </c>
      <c r="N70" s="753">
        <f>M70+M72+M73</f>
        <v>1366</v>
      </c>
      <c r="O70" s="434">
        <f>10026.71+2804.5+10.96+503.35+29.24+225.8+3.1+675.27</f>
        <v>14278.929999999998</v>
      </c>
      <c r="P70" s="563">
        <f>O70+O71+O72+O73</f>
        <v>15975.699999999999</v>
      </c>
      <c r="Q70" s="562">
        <f>J70-P70</f>
        <v>0</v>
      </c>
      <c r="R70" s="444">
        <f>J70-Q70</f>
        <v>15975.7</v>
      </c>
    </row>
    <row r="71" spans="1:19" s="391" customFormat="1" ht="83.25" customHeight="1">
      <c r="A71" s="417"/>
      <c r="B71" s="445"/>
      <c r="C71" s="522"/>
      <c r="D71" s="522"/>
      <c r="E71" s="522"/>
      <c r="F71" s="519"/>
      <c r="G71" s="522"/>
      <c r="H71" s="522"/>
      <c r="I71" s="522"/>
      <c r="J71" s="519"/>
      <c r="K71" s="520"/>
      <c r="L71" s="419" t="s">
        <v>397</v>
      </c>
      <c r="M71" s="489"/>
      <c r="N71" s="754"/>
      <c r="O71" s="430">
        <f>1329.73+0.77</f>
        <v>1330.5</v>
      </c>
      <c r="P71" s="562"/>
      <c r="Q71" s="562"/>
      <c r="R71" s="444"/>
    </row>
    <row r="72" spans="1:19" s="391" customFormat="1" ht="350.25" customHeight="1">
      <c r="A72" s="417"/>
      <c r="B72" s="445"/>
      <c r="C72" s="522"/>
      <c r="D72" s="522"/>
      <c r="E72" s="522"/>
      <c r="F72" s="519"/>
      <c r="G72" s="522"/>
      <c r="H72" s="522"/>
      <c r="I72" s="522"/>
      <c r="J72" s="519"/>
      <c r="K72" s="520"/>
      <c r="L72" s="617" t="s">
        <v>398</v>
      </c>
      <c r="M72" s="489">
        <f>10+15.25+20+7+113.65+24.6+7+6.1+30+3+7.2+6.1+11.19+3+6+15+3+7.72+15+5.6+96+33.16+109+4.23+10</f>
        <v>568.80000000000007</v>
      </c>
      <c r="N72" s="754"/>
      <c r="O72" s="430">
        <f>4.7+20+4.95+5.31+4.98+29.6+8.9+9.5+5+0.84+14.93+4.9+20.67+17.05+2.27+0.35+10+8.85+4+1.99+4.18+10.82+1.89+4.91+2.61</f>
        <v>203.20000000000005</v>
      </c>
      <c r="P72" s="430"/>
      <c r="Q72" s="569"/>
    </row>
    <row r="73" spans="1:19" s="391" customFormat="1" ht="158.25" customHeight="1">
      <c r="A73" s="417"/>
      <c r="B73" s="445"/>
      <c r="C73" s="522"/>
      <c r="D73" s="522"/>
      <c r="E73" s="522"/>
      <c r="F73" s="519"/>
      <c r="G73" s="522"/>
      <c r="H73" s="522"/>
      <c r="I73" s="522"/>
      <c r="J73" s="519"/>
      <c r="K73" s="520"/>
      <c r="L73" s="419" t="s">
        <v>396</v>
      </c>
      <c r="M73" s="416">
        <f>10.5+49.69+121+128.33+10.31+25+35.9+14+25.97+30+4</f>
        <v>454.69999999999993</v>
      </c>
      <c r="N73" s="755"/>
      <c r="O73" s="416">
        <f>20.07+45.41+3.5+23.5+58.94+8+3.65</f>
        <v>163.07</v>
      </c>
      <c r="P73" s="566"/>
      <c r="Q73" s="569"/>
    </row>
    <row r="74" spans="1:19" s="391" customFormat="1" ht="128.25" customHeight="1">
      <c r="A74" s="570" t="s">
        <v>64</v>
      </c>
      <c r="B74" s="446" t="s">
        <v>38</v>
      </c>
      <c r="C74" s="501">
        <v>38340.1</v>
      </c>
      <c r="D74" s="501"/>
      <c r="E74" s="501"/>
      <c r="F74" s="556">
        <f>E74+D74+C74</f>
        <v>38340.1</v>
      </c>
      <c r="G74" s="501">
        <v>26647.200000000001</v>
      </c>
      <c r="H74" s="501"/>
      <c r="I74" s="501"/>
      <c r="J74" s="556">
        <f>I74+H74+G74</f>
        <v>26647.200000000001</v>
      </c>
      <c r="K74" s="552">
        <f>J74*100/F74</f>
        <v>69.502166139368441</v>
      </c>
      <c r="L74" s="388" t="s">
        <v>399</v>
      </c>
      <c r="M74" s="447">
        <f>3961.47+1099.01+16.81+7.7+268.76+8+3.5</f>
        <v>5365.25</v>
      </c>
      <c r="N74" s="753">
        <f>M74+M75</f>
        <v>22512.099999999995</v>
      </c>
      <c r="O74" s="479">
        <f>4075.12+946.82+30.36+5.3+81.3+1.5</f>
        <v>5140.3999999999996</v>
      </c>
      <c r="P74" s="756">
        <f>O74+O75</f>
        <v>26647.199999999997</v>
      </c>
      <c r="Q74" s="744">
        <f>J74-P74</f>
        <v>0</v>
      </c>
    </row>
    <row r="75" spans="1:19" s="391" customFormat="1" ht="159" customHeight="1">
      <c r="A75" s="508"/>
      <c r="B75" s="427"/>
      <c r="C75" s="522"/>
      <c r="D75" s="522"/>
      <c r="E75" s="522"/>
      <c r="F75" s="519"/>
      <c r="G75" s="522"/>
      <c r="H75" s="522"/>
      <c r="I75" s="522"/>
      <c r="J75" s="519"/>
      <c r="K75" s="520"/>
      <c r="L75" s="618" t="s">
        <v>400</v>
      </c>
      <c r="M75" s="433">
        <f>12954.75+3628.12+59.06+114.09+161.69+8.42+185.54+5.76+3.73+25.69</f>
        <v>17146.849999999995</v>
      </c>
      <c r="N75" s="755"/>
      <c r="O75" s="489">
        <f>16364.62+15.98+4374.85+60.28+57.98+501.5+4.93+3.5+117+6.16</f>
        <v>21506.799999999999</v>
      </c>
      <c r="P75" s="757"/>
      <c r="Q75" s="744"/>
    </row>
    <row r="76" spans="1:19" s="391" customFormat="1" ht="135.75" customHeight="1">
      <c r="A76" s="570" t="s">
        <v>65</v>
      </c>
      <c r="B76" s="443" t="s">
        <v>6</v>
      </c>
      <c r="C76" s="501">
        <v>2670.8</v>
      </c>
      <c r="D76" s="501"/>
      <c r="E76" s="556"/>
      <c r="F76" s="556">
        <f>E76+D76+C76</f>
        <v>2670.8</v>
      </c>
      <c r="G76" s="501">
        <v>1841</v>
      </c>
      <c r="H76" s="501"/>
      <c r="I76" s="501"/>
      <c r="J76" s="556">
        <f>I76+H76+G76</f>
        <v>1841</v>
      </c>
      <c r="K76" s="552">
        <f>J76*100/F76</f>
        <v>68.9306574809046</v>
      </c>
      <c r="L76" s="415" t="s">
        <v>395</v>
      </c>
      <c r="M76" s="479">
        <f>957.78+275.7+12.5+2.4+20+4.1+28.1+24.82</f>
        <v>1325.3999999999999</v>
      </c>
      <c r="N76" s="740">
        <f>M76+M77</f>
        <v>1616.3999999999999</v>
      </c>
      <c r="O76" s="434">
        <f>1052.66+296.92+16.44+13.9+120.91</f>
        <v>1500.8300000000004</v>
      </c>
      <c r="P76" s="742">
        <f>O76+O77</f>
        <v>1841.0000000000005</v>
      </c>
      <c r="Q76" s="744">
        <f>J76-P76</f>
        <v>0</v>
      </c>
      <c r="R76" s="492">
        <f>758.5+193.4+4.3+15+29.3+0.3+8.6+162</f>
        <v>1171.3999999999999</v>
      </c>
    </row>
    <row r="77" spans="1:19" s="391" customFormat="1" ht="189" customHeight="1">
      <c r="A77" s="571"/>
      <c r="B77" s="449"/>
      <c r="C77" s="531"/>
      <c r="D77" s="535"/>
      <c r="E77" s="557"/>
      <c r="F77" s="557"/>
      <c r="G77" s="531"/>
      <c r="H77" s="531"/>
      <c r="I77" s="531"/>
      <c r="J77" s="557"/>
      <c r="K77" s="553"/>
      <c r="L77" s="435" t="s">
        <v>394</v>
      </c>
      <c r="M77" s="416">
        <f>14+2.4+54.98+38.74+28.8+11.2+50+31.8+37+21+1+0.08</f>
        <v>291</v>
      </c>
      <c r="N77" s="741"/>
      <c r="O77" s="459">
        <f>7.08+0.72+63.89+25+52.77+54.98+24.35+12.15+4.2+1.36+5+2.7+31+54.97</f>
        <v>340.16999999999996</v>
      </c>
      <c r="P77" s="743"/>
      <c r="Q77" s="745"/>
    </row>
    <row r="78" spans="1:19" s="391" customFormat="1" ht="314.25" customHeight="1">
      <c r="A78" s="510" t="s">
        <v>31</v>
      </c>
      <c r="B78" s="451" t="s">
        <v>72</v>
      </c>
      <c r="C78" s="556">
        <v>66263.899999999994</v>
      </c>
      <c r="D78" s="556"/>
      <c r="E78" s="556"/>
      <c r="F78" s="556">
        <f>E78+D78+C78</f>
        <v>66263.899999999994</v>
      </c>
      <c r="G78" s="556">
        <v>46422</v>
      </c>
      <c r="H78" s="536"/>
      <c r="I78" s="556"/>
      <c r="J78" s="556">
        <f>I78+H78+G78</f>
        <v>46422</v>
      </c>
      <c r="K78" s="552">
        <f>J78*100/F78</f>
        <v>70.05624480297719</v>
      </c>
      <c r="L78" s="616" t="s">
        <v>386</v>
      </c>
      <c r="M78" s="479">
        <f>9.5+8.4+6.5+9.05+13.64+6</f>
        <v>53.09</v>
      </c>
      <c r="N78" s="753" t="e">
        <f>M78+M79+#REF!+#REF!+#REF!+#REF!+M82+#REF!+#REF!</f>
        <v>#REF!</v>
      </c>
      <c r="O78" s="479">
        <f>6.8+8.2+5.97+9.6+5.32+10.97+13.58+12.95+8.5+0.48+10.44+15.47+0.12</f>
        <v>108.4</v>
      </c>
      <c r="P78" s="762">
        <f>O78+O79+O80+O81+O82+O84</f>
        <v>46421.999999999993</v>
      </c>
      <c r="Q78" s="482">
        <f>J78-P78</f>
        <v>0</v>
      </c>
      <c r="R78" s="562">
        <f>J78-P78</f>
        <v>0</v>
      </c>
      <c r="S78" s="452"/>
    </row>
    <row r="79" spans="1:19" s="391" customFormat="1" ht="247.5" customHeight="1">
      <c r="A79" s="509"/>
      <c r="B79" s="431"/>
      <c r="C79" s="519"/>
      <c r="D79" s="519"/>
      <c r="E79" s="522"/>
      <c r="F79" s="519"/>
      <c r="G79" s="519"/>
      <c r="H79" s="519"/>
      <c r="I79" s="519"/>
      <c r="J79" s="519"/>
      <c r="K79" s="520"/>
      <c r="L79" s="419" t="s">
        <v>383</v>
      </c>
      <c r="M79" s="489">
        <f>3039.83+865.66+4.9+60.7</f>
        <v>3971.0899999999997</v>
      </c>
      <c r="N79" s="754"/>
      <c r="O79" s="489">
        <f>20178.57+43.41+5763.19+21.97+580.58+398.36+77.88+4.71+35.28+12.44+66.23+283.12</f>
        <v>27465.739999999998</v>
      </c>
      <c r="P79" s="763"/>
      <c r="Q79" s="569"/>
    </row>
    <row r="80" spans="1:19" s="391" customFormat="1" ht="95.25" customHeight="1">
      <c r="A80" s="509"/>
      <c r="B80" s="431"/>
      <c r="C80" s="519"/>
      <c r="D80" s="519"/>
      <c r="E80" s="522"/>
      <c r="F80" s="519"/>
      <c r="G80" s="519"/>
      <c r="H80" s="519"/>
      <c r="I80" s="519"/>
      <c r="J80" s="519"/>
      <c r="K80" s="520"/>
      <c r="L80" s="503" t="s">
        <v>367</v>
      </c>
      <c r="M80" s="489"/>
      <c r="N80" s="754"/>
      <c r="O80" s="489">
        <f>58.8+100</f>
        <v>158.80000000000001</v>
      </c>
      <c r="P80" s="763"/>
      <c r="Q80" s="569"/>
    </row>
    <row r="81" spans="1:17" s="391" customFormat="1" ht="216.75" customHeight="1">
      <c r="A81" s="509"/>
      <c r="B81" s="431"/>
      <c r="C81" s="519"/>
      <c r="D81" s="519"/>
      <c r="E81" s="522"/>
      <c r="F81" s="519"/>
      <c r="G81" s="519"/>
      <c r="H81" s="519"/>
      <c r="I81" s="519"/>
      <c r="J81" s="519"/>
      <c r="K81" s="520"/>
      <c r="L81" s="503" t="s">
        <v>384</v>
      </c>
      <c r="M81" s="489"/>
      <c r="N81" s="754"/>
      <c r="O81" s="489">
        <f>10402.9+2.5+2903.1+48.54+1238.31+453.93+116.05+3.9+115.05+2536.32+480.86</f>
        <v>18301.46</v>
      </c>
      <c r="P81" s="763"/>
      <c r="Q81" s="569"/>
    </row>
    <row r="82" spans="1:17" s="391" customFormat="1" ht="357.75" customHeight="1">
      <c r="A82" s="429"/>
      <c r="B82" s="431"/>
      <c r="C82" s="519"/>
      <c r="D82" s="519"/>
      <c r="E82" s="522"/>
      <c r="F82" s="519"/>
      <c r="G82" s="519"/>
      <c r="H82" s="519"/>
      <c r="I82" s="519"/>
      <c r="J82" s="519"/>
      <c r="K82" s="520"/>
      <c r="L82" s="415" t="s">
        <v>385</v>
      </c>
      <c r="M82" s="489">
        <f>12+4.56+14.5+30+25.35+9.45+21.76+12.97+8.16+10.29+4.14+8.5+4.05+12.15+6.4</f>
        <v>184.28</v>
      </c>
      <c r="N82" s="754"/>
      <c r="O82" s="416">
        <f>48.15+19.83+8.55+7.19+3.94+3.97+7.6+39+5.36+5.52+27+3.6+4+2.91+30.19+2.25+11.2+10.54+26.84+4.51</f>
        <v>272.14999999999992</v>
      </c>
      <c r="P82" s="764"/>
      <c r="Q82" s="569" t="e">
        <f>1845.2-O82-#REF!-#REF!</f>
        <v>#REF!</v>
      </c>
    </row>
    <row r="83" spans="1:17" s="391" customFormat="1" ht="111.75" customHeight="1">
      <c r="A83" s="429"/>
      <c r="B83" s="431"/>
      <c r="C83" s="519"/>
      <c r="D83" s="519"/>
      <c r="E83" s="522"/>
      <c r="F83" s="519"/>
      <c r="G83" s="519"/>
      <c r="H83" s="519"/>
      <c r="I83" s="519"/>
      <c r="J83" s="519"/>
      <c r="K83" s="580"/>
      <c r="L83" s="415" t="s">
        <v>382</v>
      </c>
      <c r="M83" s="490"/>
      <c r="N83" s="550"/>
      <c r="O83" s="490"/>
      <c r="P83" s="482"/>
      <c r="Q83" s="579"/>
    </row>
    <row r="84" spans="1:17" s="391" customFormat="1" ht="205.5" customHeight="1">
      <c r="A84" s="429"/>
      <c r="B84" s="431"/>
      <c r="C84" s="519"/>
      <c r="D84" s="519"/>
      <c r="E84" s="522"/>
      <c r="F84" s="519"/>
      <c r="G84" s="519"/>
      <c r="H84" s="519"/>
      <c r="I84" s="519"/>
      <c r="J84" s="519"/>
      <c r="K84" s="520"/>
      <c r="L84" s="415" t="s">
        <v>387</v>
      </c>
      <c r="M84" s="490"/>
      <c r="N84" s="550"/>
      <c r="O84" s="490">
        <f>3.5+14.92+12.22+16.91+5.55+5.1+9.54+20+11.42+9.73+1.56+5</f>
        <v>115.45</v>
      </c>
      <c r="P84" s="482"/>
      <c r="Q84" s="569"/>
    </row>
    <row r="85" spans="1:17" s="391" customFormat="1" ht="71.25" customHeight="1">
      <c r="A85" s="476">
        <v>7</v>
      </c>
      <c r="B85" s="421" t="s">
        <v>73</v>
      </c>
      <c r="C85" s="523">
        <f t="shared" ref="C85:J85" si="2">C86+C88+C92</f>
        <v>15670.900000000001</v>
      </c>
      <c r="D85" s="523">
        <f t="shared" si="2"/>
        <v>112168.90000000001</v>
      </c>
      <c r="E85" s="523">
        <f t="shared" si="2"/>
        <v>12208.9</v>
      </c>
      <c r="F85" s="523">
        <f t="shared" si="2"/>
        <v>140048.70000000001</v>
      </c>
      <c r="G85" s="523">
        <f>G86+G88+G92</f>
        <v>12109.900000000001</v>
      </c>
      <c r="H85" s="523">
        <f t="shared" si="2"/>
        <v>90093.5</v>
      </c>
      <c r="I85" s="523">
        <f t="shared" si="2"/>
        <v>12208.9</v>
      </c>
      <c r="J85" s="523">
        <f t="shared" si="2"/>
        <v>114412.3</v>
      </c>
      <c r="K85" s="524">
        <f>J85*100/F85</f>
        <v>81.694653359866948</v>
      </c>
      <c r="L85" s="422"/>
      <c r="M85" s="389"/>
      <c r="N85" s="390"/>
      <c r="O85" s="389"/>
      <c r="P85" s="562"/>
      <c r="Q85" s="569"/>
    </row>
    <row r="86" spans="1:17" s="391" customFormat="1" ht="245.25" customHeight="1">
      <c r="A86" s="454" t="s">
        <v>32</v>
      </c>
      <c r="B86" s="446" t="s">
        <v>45</v>
      </c>
      <c r="C86" s="501">
        <v>8599.2000000000007</v>
      </c>
      <c r="D86" s="501">
        <v>3586.1</v>
      </c>
      <c r="E86" s="501"/>
      <c r="F86" s="556">
        <f>E86+D86+C86</f>
        <v>12185.300000000001</v>
      </c>
      <c r="G86" s="501">
        <v>6803.8</v>
      </c>
      <c r="H86" s="501">
        <v>1943.4</v>
      </c>
      <c r="I86" s="501"/>
      <c r="J86" s="556">
        <f>I86+H86+G86</f>
        <v>8747.2000000000007</v>
      </c>
      <c r="K86" s="552">
        <f>J86*100/F86</f>
        <v>71.78485552263794</v>
      </c>
      <c r="L86" s="619" t="s">
        <v>426</v>
      </c>
      <c r="M86" s="479">
        <f>5355.4+50+25.7+80+429</f>
        <v>5940.0999999999995</v>
      </c>
      <c r="N86" s="752">
        <f>M86+M87</f>
        <v>9880.9</v>
      </c>
      <c r="O86" s="479">
        <f>6711.4+30+22.8+39.6+390.8</f>
        <v>7194.6</v>
      </c>
      <c r="P86" s="759">
        <f>O86+O87</f>
        <v>8747.2000000000007</v>
      </c>
      <c r="Q86" s="733">
        <f>J86-P86</f>
        <v>0</v>
      </c>
    </row>
    <row r="87" spans="1:17" s="391" customFormat="1" ht="73.5" customHeight="1">
      <c r="A87" s="455"/>
      <c r="B87" s="448"/>
      <c r="C87" s="531"/>
      <c r="D87" s="531"/>
      <c r="E87" s="531"/>
      <c r="F87" s="557"/>
      <c r="G87" s="531"/>
      <c r="H87" s="531"/>
      <c r="I87" s="531"/>
      <c r="J87" s="557"/>
      <c r="K87" s="553"/>
      <c r="L87" s="613" t="s">
        <v>425</v>
      </c>
      <c r="M87" s="416">
        <v>3940.8</v>
      </c>
      <c r="N87" s="758"/>
      <c r="O87" s="416">
        <v>1552.6</v>
      </c>
      <c r="P87" s="760"/>
      <c r="Q87" s="765"/>
    </row>
    <row r="88" spans="1:17" s="391" customFormat="1" ht="144.75" customHeight="1">
      <c r="A88" s="570" t="s">
        <v>34</v>
      </c>
      <c r="B88" s="446" t="s">
        <v>7</v>
      </c>
      <c r="C88" s="525"/>
      <c r="D88" s="525">
        <v>105232.8</v>
      </c>
      <c r="E88" s="525">
        <v>12208.9</v>
      </c>
      <c r="F88" s="526">
        <f>E88+D88+C88</f>
        <v>117441.7</v>
      </c>
      <c r="G88" s="525"/>
      <c r="H88" s="525">
        <v>84800.1</v>
      </c>
      <c r="I88" s="525">
        <v>12208.9</v>
      </c>
      <c r="J88" s="526">
        <f>G88+H88+I88</f>
        <v>97009</v>
      </c>
      <c r="K88" s="537">
        <f>J88*100/F88</f>
        <v>82.601835634191261</v>
      </c>
      <c r="L88" s="616" t="s">
        <v>429</v>
      </c>
      <c r="M88" s="447">
        <f>11180+33559.8</f>
        <v>44739.8</v>
      </c>
      <c r="N88" s="752" t="e">
        <f>M88+#REF!+M91</f>
        <v>#REF!</v>
      </c>
      <c r="O88" s="479">
        <v>43104.800000000003</v>
      </c>
      <c r="P88" s="759">
        <f>O88+O89+O90+O91</f>
        <v>97009</v>
      </c>
      <c r="Q88" s="733">
        <f>J88-P88</f>
        <v>0</v>
      </c>
    </row>
    <row r="89" spans="1:17" s="391" customFormat="1" ht="123" customHeight="1">
      <c r="A89" s="417"/>
      <c r="B89" s="427"/>
      <c r="C89" s="527"/>
      <c r="D89" s="527"/>
      <c r="E89" s="527"/>
      <c r="F89" s="528"/>
      <c r="G89" s="527"/>
      <c r="H89" s="527"/>
      <c r="I89" s="527"/>
      <c r="J89" s="528"/>
      <c r="K89" s="538"/>
      <c r="L89" s="419" t="s">
        <v>430</v>
      </c>
      <c r="M89" s="490"/>
      <c r="N89" s="736"/>
      <c r="O89" s="479">
        <f>6838+314.4+57+73.4+118.8+6+118.7+263.6</f>
        <v>7789.9</v>
      </c>
      <c r="P89" s="744"/>
      <c r="Q89" s="734"/>
    </row>
    <row r="90" spans="1:17" s="391" customFormat="1" ht="101.25" customHeight="1">
      <c r="A90" s="417"/>
      <c r="B90" s="427"/>
      <c r="C90" s="527"/>
      <c r="D90" s="527"/>
      <c r="E90" s="527"/>
      <c r="F90" s="528"/>
      <c r="G90" s="527"/>
      <c r="H90" s="527"/>
      <c r="I90" s="527"/>
      <c r="J90" s="528"/>
      <c r="K90" s="538"/>
      <c r="L90" s="419" t="s">
        <v>428</v>
      </c>
      <c r="M90" s="490"/>
      <c r="N90" s="736"/>
      <c r="O90" s="489">
        <f>21974+11808.1</f>
        <v>33782.1</v>
      </c>
      <c r="P90" s="744"/>
      <c r="Q90" s="734"/>
    </row>
    <row r="91" spans="1:17" s="391" customFormat="1" ht="108.75" customHeight="1">
      <c r="A91" s="417"/>
      <c r="B91" s="448"/>
      <c r="C91" s="533"/>
      <c r="D91" s="533"/>
      <c r="E91" s="533"/>
      <c r="F91" s="534"/>
      <c r="G91" s="533"/>
      <c r="H91" s="533"/>
      <c r="I91" s="533"/>
      <c r="J91" s="534"/>
      <c r="K91" s="539"/>
      <c r="L91" s="620" t="s">
        <v>427</v>
      </c>
      <c r="M91" s="433">
        <f>22046.5+12798.3</f>
        <v>34844.800000000003</v>
      </c>
      <c r="N91" s="758"/>
      <c r="O91" s="416">
        <f>12208.9+123.3</f>
        <v>12332.199999999999</v>
      </c>
      <c r="P91" s="760"/>
      <c r="Q91" s="761"/>
    </row>
    <row r="92" spans="1:17" s="391" customFormat="1" ht="105.75" customHeight="1">
      <c r="A92" s="570" t="s">
        <v>35</v>
      </c>
      <c r="B92" s="551" t="s">
        <v>8</v>
      </c>
      <c r="C92" s="501">
        <v>7071.7</v>
      </c>
      <c r="D92" s="501">
        <v>3350</v>
      </c>
      <c r="E92" s="501"/>
      <c r="F92" s="556">
        <f>E92+D92+C92</f>
        <v>10421.700000000001</v>
      </c>
      <c r="G92" s="501">
        <v>5306.1</v>
      </c>
      <c r="H92" s="501">
        <v>3350</v>
      </c>
      <c r="I92" s="501"/>
      <c r="J92" s="556">
        <f>I92+H92+G92</f>
        <v>8656.1</v>
      </c>
      <c r="K92" s="552">
        <f>J92*100/F92</f>
        <v>83.058426168475393</v>
      </c>
      <c r="L92" s="419" t="s">
        <v>423</v>
      </c>
      <c r="M92" s="479">
        <f>2052.2+136+21.6+195.9</f>
        <v>2405.6999999999998</v>
      </c>
      <c r="N92" s="456" t="e">
        <f>M92+#REF!</f>
        <v>#REF!</v>
      </c>
      <c r="O92" s="479">
        <f>2667.8+135.7+45.8+173.2</f>
        <v>3022.5</v>
      </c>
      <c r="P92" s="759">
        <f>O92+O93+O94+O95+O96</f>
        <v>8656.1</v>
      </c>
      <c r="Q92" s="733">
        <f>J92-P92</f>
        <v>0</v>
      </c>
    </row>
    <row r="93" spans="1:17" s="391" customFormat="1" ht="60" customHeight="1">
      <c r="A93" s="508"/>
      <c r="B93" s="427"/>
      <c r="C93" s="522"/>
      <c r="D93" s="522"/>
      <c r="E93" s="522"/>
      <c r="F93" s="519"/>
      <c r="G93" s="522"/>
      <c r="H93" s="522"/>
      <c r="I93" s="522"/>
      <c r="J93" s="519"/>
      <c r="K93" s="520"/>
      <c r="L93" s="612" t="s">
        <v>368</v>
      </c>
      <c r="M93" s="489"/>
      <c r="N93" s="432"/>
      <c r="O93" s="489">
        <v>68.7</v>
      </c>
      <c r="P93" s="744"/>
      <c r="Q93" s="734"/>
    </row>
    <row r="94" spans="1:17" s="391" customFormat="1" ht="60.75" customHeight="1">
      <c r="A94" s="417"/>
      <c r="B94" s="445"/>
      <c r="C94" s="522"/>
      <c r="D94" s="522"/>
      <c r="E94" s="522"/>
      <c r="F94" s="519"/>
      <c r="G94" s="522"/>
      <c r="H94" s="522"/>
      <c r="I94" s="522"/>
      <c r="J94" s="519"/>
      <c r="K94" s="538"/>
      <c r="L94" s="503" t="s">
        <v>369</v>
      </c>
      <c r="M94" s="490"/>
      <c r="N94" s="432"/>
      <c r="O94" s="489">
        <v>98</v>
      </c>
      <c r="P94" s="744"/>
      <c r="Q94" s="734"/>
    </row>
    <row r="95" spans="1:17" s="391" customFormat="1" ht="73.5" customHeight="1">
      <c r="A95" s="417"/>
      <c r="B95" s="445"/>
      <c r="C95" s="522"/>
      <c r="D95" s="522"/>
      <c r="E95" s="522"/>
      <c r="F95" s="519"/>
      <c r="G95" s="522"/>
      <c r="H95" s="522"/>
      <c r="I95" s="522"/>
      <c r="J95" s="519"/>
      <c r="K95" s="520"/>
      <c r="L95" s="503" t="s">
        <v>370</v>
      </c>
      <c r="M95" s="489"/>
      <c r="N95" s="432"/>
      <c r="O95" s="489">
        <v>1226.4000000000001</v>
      </c>
      <c r="P95" s="744"/>
      <c r="Q95" s="734"/>
    </row>
    <row r="96" spans="1:17" s="391" customFormat="1" ht="71.25" customHeight="1">
      <c r="A96" s="417"/>
      <c r="B96" s="445"/>
      <c r="C96" s="522"/>
      <c r="D96" s="522"/>
      <c r="E96" s="522"/>
      <c r="F96" s="519"/>
      <c r="G96" s="522"/>
      <c r="H96" s="522"/>
      <c r="I96" s="522"/>
      <c r="J96" s="519"/>
      <c r="K96" s="580"/>
      <c r="L96" s="503" t="s">
        <v>424</v>
      </c>
      <c r="M96" s="489"/>
      <c r="N96" s="432"/>
      <c r="O96" s="489">
        <f>3350+890.5</f>
        <v>4240.5</v>
      </c>
      <c r="P96" s="595"/>
      <c r="Q96" s="594"/>
    </row>
    <row r="97" spans="1:22" s="391" customFormat="1" ht="269.25" customHeight="1">
      <c r="A97" s="457" t="s">
        <v>37</v>
      </c>
      <c r="B97" s="558" t="s">
        <v>81</v>
      </c>
      <c r="C97" s="556">
        <v>26898.5</v>
      </c>
      <c r="D97" s="556"/>
      <c r="E97" s="556"/>
      <c r="F97" s="556">
        <f>E97+D97+C97</f>
        <v>26898.5</v>
      </c>
      <c r="G97" s="556">
        <v>19409.599999999999</v>
      </c>
      <c r="H97" s="556"/>
      <c r="I97" s="556"/>
      <c r="J97" s="556">
        <f>I97+H97+G97</f>
        <v>19409.599999999999</v>
      </c>
      <c r="K97" s="552">
        <f>J97*100/F97</f>
        <v>72.158670557837794</v>
      </c>
      <c r="L97" s="548" t="s">
        <v>415</v>
      </c>
      <c r="M97" s="434">
        <f>9556.7+2688.8+172.6+1474.5+454.5+500.3+138.4+204.4+9+349.8+147.85+22.53</f>
        <v>15719.38</v>
      </c>
      <c r="N97" s="768" t="e">
        <f>M97+#REF!+M99+M100</f>
        <v>#REF!</v>
      </c>
      <c r="O97" s="434">
        <f>11663.08+3492.7+255.5+152.7+379.8+474.4+157.9+389.1+19.15+136.4+29.42+1413.15</f>
        <v>18563.300000000003</v>
      </c>
      <c r="P97" s="759">
        <f>O97+O99+O100+O98</f>
        <v>19409.600000000006</v>
      </c>
      <c r="Q97" s="733">
        <f>J97-P97</f>
        <v>0</v>
      </c>
      <c r="R97" s="766"/>
    </row>
    <row r="98" spans="1:22" s="391" customFormat="1" ht="69" customHeight="1">
      <c r="A98" s="593"/>
      <c r="B98" s="453"/>
      <c r="C98" s="519"/>
      <c r="D98" s="519"/>
      <c r="E98" s="519"/>
      <c r="F98" s="519"/>
      <c r="G98" s="519"/>
      <c r="H98" s="519"/>
      <c r="I98" s="519"/>
      <c r="J98" s="519"/>
      <c r="K98" s="580"/>
      <c r="L98" s="460" t="s">
        <v>414</v>
      </c>
      <c r="M98" s="430"/>
      <c r="N98" s="769"/>
      <c r="O98" s="430">
        <v>10</v>
      </c>
      <c r="P98" s="744"/>
      <c r="Q98" s="734"/>
      <c r="R98" s="766"/>
    </row>
    <row r="99" spans="1:22" s="391" customFormat="1" ht="57" customHeight="1">
      <c r="A99" s="458"/>
      <c r="B99" s="453"/>
      <c r="C99" s="519"/>
      <c r="D99" s="519"/>
      <c r="E99" s="519"/>
      <c r="F99" s="519"/>
      <c r="G99" s="519"/>
      <c r="H99" s="519"/>
      <c r="I99" s="519"/>
      <c r="J99" s="519"/>
      <c r="K99" s="520"/>
      <c r="L99" s="548" t="s">
        <v>412</v>
      </c>
      <c r="M99" s="430">
        <f>271+50</f>
        <v>321</v>
      </c>
      <c r="N99" s="769"/>
      <c r="O99" s="489">
        <v>409.9</v>
      </c>
      <c r="P99" s="744"/>
      <c r="Q99" s="757"/>
      <c r="R99" s="767"/>
    </row>
    <row r="100" spans="1:22" s="391" customFormat="1" ht="187.5" customHeight="1">
      <c r="A100" s="458"/>
      <c r="B100" s="453"/>
      <c r="C100" s="519"/>
      <c r="D100" s="519"/>
      <c r="E100" s="519"/>
      <c r="F100" s="519"/>
      <c r="G100" s="519"/>
      <c r="H100" s="519"/>
      <c r="I100" s="519"/>
      <c r="J100" s="519"/>
      <c r="K100" s="520"/>
      <c r="L100" s="460" t="s">
        <v>413</v>
      </c>
      <c r="M100" s="459">
        <f>94.12+11.9</f>
        <v>106.02000000000001</v>
      </c>
      <c r="N100" s="770"/>
      <c r="O100" s="416">
        <f>37.75+16.8+5.95+118.7+63+94.2+90</f>
        <v>426.4</v>
      </c>
      <c r="P100" s="760"/>
      <c r="Q100" s="761"/>
      <c r="R100" s="767"/>
    </row>
    <row r="101" spans="1:22" s="391" customFormat="1" ht="160.5" customHeight="1">
      <c r="A101" s="420" t="s">
        <v>39</v>
      </c>
      <c r="B101" s="460" t="s">
        <v>74</v>
      </c>
      <c r="C101" s="523">
        <v>25</v>
      </c>
      <c r="D101" s="523"/>
      <c r="E101" s="523"/>
      <c r="F101" s="523">
        <f>E101+D101+C101</f>
        <v>25</v>
      </c>
      <c r="G101" s="523">
        <v>3</v>
      </c>
      <c r="H101" s="523"/>
      <c r="I101" s="523"/>
      <c r="J101" s="523">
        <f>G101+H101+I101</f>
        <v>3</v>
      </c>
      <c r="K101" s="524">
        <f>J101/F101*100</f>
        <v>12</v>
      </c>
      <c r="L101" s="422" t="s">
        <v>392</v>
      </c>
      <c r="M101" s="437">
        <f>4+3+3</f>
        <v>10</v>
      </c>
      <c r="N101" s="390"/>
      <c r="O101" s="450"/>
      <c r="P101" s="566"/>
      <c r="Q101" s="569"/>
    </row>
    <row r="102" spans="1:22" s="391" customFormat="1" ht="123.75" customHeight="1">
      <c r="A102" s="461" t="s">
        <v>40</v>
      </c>
      <c r="B102" s="423" t="s">
        <v>75</v>
      </c>
      <c r="C102" s="523">
        <f t="shared" ref="C102:J102" si="3">C103+C104+C105+C106</f>
        <v>109</v>
      </c>
      <c r="D102" s="523">
        <f t="shared" si="3"/>
        <v>0</v>
      </c>
      <c r="E102" s="523">
        <f t="shared" si="3"/>
        <v>0</v>
      </c>
      <c r="F102" s="523">
        <f t="shared" si="3"/>
        <v>109</v>
      </c>
      <c r="G102" s="523">
        <f>G103+G104+G105+G106</f>
        <v>45.900000000000006</v>
      </c>
      <c r="H102" s="523">
        <f t="shared" si="3"/>
        <v>0</v>
      </c>
      <c r="I102" s="523">
        <f t="shared" si="3"/>
        <v>0</v>
      </c>
      <c r="J102" s="523">
        <f t="shared" si="3"/>
        <v>45.900000000000006</v>
      </c>
      <c r="K102" s="524">
        <f>J102*100/F102</f>
        <v>42.110091743119277</v>
      </c>
      <c r="L102" s="422"/>
      <c r="M102" s="389"/>
      <c r="N102" s="390"/>
      <c r="O102" s="389"/>
      <c r="P102" s="562"/>
      <c r="Q102" s="569"/>
    </row>
    <row r="103" spans="1:22" s="391" customFormat="1" ht="112.5" customHeight="1">
      <c r="A103" s="462" t="s">
        <v>66</v>
      </c>
      <c r="B103" s="463" t="s">
        <v>9</v>
      </c>
      <c r="C103" s="532">
        <v>17</v>
      </c>
      <c r="D103" s="532"/>
      <c r="E103" s="532"/>
      <c r="F103" s="523">
        <f>E103+D103+C103</f>
        <v>17</v>
      </c>
      <c r="G103" s="532">
        <v>1.5</v>
      </c>
      <c r="H103" s="532"/>
      <c r="I103" s="532"/>
      <c r="J103" s="523">
        <f>I103+H103+G103</f>
        <v>1.5</v>
      </c>
      <c r="K103" s="524">
        <f>J103*100/F103</f>
        <v>8.8235294117647065</v>
      </c>
      <c r="L103" s="422" t="s">
        <v>388</v>
      </c>
      <c r="M103" s="479">
        <v>1.8</v>
      </c>
      <c r="N103" s="480">
        <f>M103+M104+M105+M106</f>
        <v>74.100000000000009</v>
      </c>
      <c r="O103" s="494">
        <v>1.5</v>
      </c>
      <c r="P103" s="563">
        <f>O103+O104+O105+O106</f>
        <v>45.900000000000006</v>
      </c>
      <c r="Q103" s="562">
        <f>J102-P103</f>
        <v>0</v>
      </c>
    </row>
    <row r="104" spans="1:22" s="391" customFormat="1" ht="61.5" customHeight="1">
      <c r="A104" s="464" t="s">
        <v>67</v>
      </c>
      <c r="B104" s="463" t="s">
        <v>48</v>
      </c>
      <c r="C104" s="532">
        <v>44</v>
      </c>
      <c r="D104" s="532"/>
      <c r="E104" s="532"/>
      <c r="F104" s="523">
        <f>E104+D104+C104</f>
        <v>44</v>
      </c>
      <c r="G104" s="532">
        <v>1.7</v>
      </c>
      <c r="H104" s="532"/>
      <c r="I104" s="532"/>
      <c r="J104" s="523">
        <f>I104+H104+G104</f>
        <v>1.7</v>
      </c>
      <c r="K104" s="524">
        <f>J104*100/F104</f>
        <v>3.8636363636363638</v>
      </c>
      <c r="L104" s="422" t="s">
        <v>389</v>
      </c>
      <c r="M104" s="489">
        <v>49.2</v>
      </c>
      <c r="N104" s="428"/>
      <c r="O104" s="489">
        <v>1.7</v>
      </c>
      <c r="P104" s="567"/>
      <c r="Q104" s="569"/>
    </row>
    <row r="105" spans="1:22" s="391" customFormat="1" ht="107.25" customHeight="1">
      <c r="A105" s="436" t="s">
        <v>68</v>
      </c>
      <c r="B105" s="441" t="s">
        <v>10</v>
      </c>
      <c r="C105" s="532">
        <v>45</v>
      </c>
      <c r="D105" s="532"/>
      <c r="E105" s="532"/>
      <c r="F105" s="523">
        <f>E105+D105+C105</f>
        <v>45</v>
      </c>
      <c r="G105" s="532">
        <v>40</v>
      </c>
      <c r="H105" s="532"/>
      <c r="I105" s="532"/>
      <c r="J105" s="523">
        <f>I105+H105+G105</f>
        <v>40</v>
      </c>
      <c r="K105" s="524">
        <f>J105*100/F105</f>
        <v>88.888888888888886</v>
      </c>
      <c r="L105" s="422" t="s">
        <v>390</v>
      </c>
      <c r="M105" s="416">
        <v>20.399999999999999</v>
      </c>
      <c r="N105" s="481"/>
      <c r="O105" s="489">
        <v>40</v>
      </c>
      <c r="P105" s="567"/>
      <c r="Q105" s="569"/>
    </row>
    <row r="106" spans="1:22" s="391" customFormat="1" ht="108" customHeight="1">
      <c r="A106" s="436" t="s">
        <v>69</v>
      </c>
      <c r="B106" s="441" t="s">
        <v>11</v>
      </c>
      <c r="C106" s="532">
        <v>3</v>
      </c>
      <c r="D106" s="532"/>
      <c r="E106" s="532"/>
      <c r="F106" s="523">
        <f>E106+D106+C106</f>
        <v>3</v>
      </c>
      <c r="G106" s="532">
        <v>2.7</v>
      </c>
      <c r="H106" s="532"/>
      <c r="I106" s="532"/>
      <c r="J106" s="523">
        <f>I106+H106+G106</f>
        <v>2.7</v>
      </c>
      <c r="K106" s="524">
        <f>J106*100/F106</f>
        <v>90</v>
      </c>
      <c r="L106" s="422" t="s">
        <v>391</v>
      </c>
      <c r="M106" s="389">
        <v>2.7</v>
      </c>
      <c r="N106" s="390"/>
      <c r="O106" s="416">
        <v>2.7</v>
      </c>
      <c r="P106" s="566"/>
      <c r="Q106" s="569"/>
    </row>
    <row r="107" spans="1:22" s="391" customFormat="1" ht="155.25" customHeight="1">
      <c r="A107" s="510" t="s">
        <v>41</v>
      </c>
      <c r="B107" s="421" t="s">
        <v>76</v>
      </c>
      <c r="C107" s="526">
        <v>2665.7</v>
      </c>
      <c r="D107" s="526">
        <v>1362</v>
      </c>
      <c r="E107" s="526"/>
      <c r="F107" s="526">
        <f>E107+D107+C107</f>
        <v>4027.7</v>
      </c>
      <c r="G107" s="554">
        <v>2066.4</v>
      </c>
      <c r="H107" s="554"/>
      <c r="I107" s="554"/>
      <c r="J107" s="554">
        <f>G107+I107+H107</f>
        <v>2066.4</v>
      </c>
      <c r="K107" s="552">
        <f>J107/F107*100</f>
        <v>51.30471484966607</v>
      </c>
      <c r="L107" s="388" t="s">
        <v>381</v>
      </c>
      <c r="M107" s="479">
        <f>912.45+239.06+39.1+125.99+21.63+22.81+0.05+1.61</f>
        <v>1362.6999999999998</v>
      </c>
      <c r="N107" s="456" t="e">
        <f>M107+#REF!+#REF!</f>
        <v>#REF!</v>
      </c>
      <c r="O107" s="434">
        <f>1223.7+312.3+96.5+42.8+36.1+28.7+6.4+319.9</f>
        <v>2066.4</v>
      </c>
      <c r="P107" s="563">
        <f>J107-O107</f>
        <v>0</v>
      </c>
      <c r="Q107" s="569"/>
      <c r="R107" s="444"/>
      <c r="S107" s="444"/>
      <c r="T107" s="444"/>
      <c r="U107" s="444"/>
      <c r="V107" s="444"/>
    </row>
    <row r="108" spans="1:22" s="391" customFormat="1" ht="94.5" customHeight="1">
      <c r="A108" s="461" t="s">
        <v>42</v>
      </c>
      <c r="B108" s="491" t="s">
        <v>77</v>
      </c>
      <c r="C108" s="556">
        <f>C109+C112</f>
        <v>67457.600000000006</v>
      </c>
      <c r="D108" s="556">
        <f t="shared" ref="D108:J108" si="4">D109+D112</f>
        <v>17345.3</v>
      </c>
      <c r="E108" s="556">
        <f t="shared" si="4"/>
        <v>0</v>
      </c>
      <c r="F108" s="556">
        <f t="shared" si="4"/>
        <v>84802.900000000009</v>
      </c>
      <c r="G108" s="523">
        <f t="shared" si="4"/>
        <v>11580.199999999999</v>
      </c>
      <c r="H108" s="523">
        <f t="shared" si="4"/>
        <v>17345.3</v>
      </c>
      <c r="I108" s="523">
        <f t="shared" si="4"/>
        <v>0</v>
      </c>
      <c r="J108" s="523">
        <f t="shared" si="4"/>
        <v>28925.499999999996</v>
      </c>
      <c r="K108" s="524">
        <f>J108*100/F108</f>
        <v>34.109092967339549</v>
      </c>
      <c r="L108" s="422"/>
      <c r="M108" s="438"/>
      <c r="N108" s="390"/>
      <c r="O108" s="438"/>
      <c r="P108" s="562"/>
      <c r="Q108" s="569"/>
    </row>
    <row r="109" spans="1:22" s="391" customFormat="1" ht="174" customHeight="1">
      <c r="A109" s="559" t="s">
        <v>43</v>
      </c>
      <c r="B109" s="446" t="s">
        <v>12</v>
      </c>
      <c r="C109" s="501">
        <v>65746</v>
      </c>
      <c r="D109" s="501">
        <v>17345.3</v>
      </c>
      <c r="E109" s="501"/>
      <c r="F109" s="556">
        <f>E109+D109+C109</f>
        <v>83091.3</v>
      </c>
      <c r="G109" s="501">
        <v>10389.4</v>
      </c>
      <c r="H109" s="501">
        <v>17345.3</v>
      </c>
      <c r="I109" s="501"/>
      <c r="J109" s="556">
        <f>I109+H109+G109</f>
        <v>27734.699999999997</v>
      </c>
      <c r="K109" s="552">
        <f>J109*100/F109</f>
        <v>33.378584761581529</v>
      </c>
      <c r="L109" s="604" t="s">
        <v>378</v>
      </c>
      <c r="M109" s="479">
        <f>48.83+276.74+58.04+65.92+50.83+116.02</f>
        <v>616.38</v>
      </c>
      <c r="N109" s="752" t="e">
        <f>M109+#REF!+#REF!+#REF!+#REF!+#REF!+M112</f>
        <v>#REF!</v>
      </c>
      <c r="O109" s="434">
        <f>1974.6+769.6+3889.8+96.9</f>
        <v>6730.9</v>
      </c>
      <c r="P109" s="738">
        <f>O109+O110+O111</f>
        <v>27734.699999999997</v>
      </c>
      <c r="Q109" s="562">
        <f>J109-P109</f>
        <v>0</v>
      </c>
    </row>
    <row r="110" spans="1:22" s="391" customFormat="1" ht="159.75" customHeight="1">
      <c r="A110" s="465"/>
      <c r="B110" s="445"/>
      <c r="C110" s="522"/>
      <c r="D110" s="522"/>
      <c r="E110" s="522"/>
      <c r="F110" s="519"/>
      <c r="G110" s="522"/>
      <c r="H110" s="522"/>
      <c r="I110" s="522"/>
      <c r="J110" s="519"/>
      <c r="K110" s="520"/>
      <c r="L110" s="605" t="s">
        <v>374</v>
      </c>
      <c r="M110" s="489"/>
      <c r="N110" s="736"/>
      <c r="O110" s="430">
        <f>2044.3+1602.9+3738.8+1675.9+5237.3+3046.1</f>
        <v>17345.3</v>
      </c>
      <c r="P110" s="739"/>
      <c r="Q110" s="562"/>
    </row>
    <row r="111" spans="1:22" s="391" customFormat="1" ht="235.5" customHeight="1">
      <c r="A111" s="465"/>
      <c r="B111" s="445"/>
      <c r="C111" s="522"/>
      <c r="D111" s="522"/>
      <c r="E111" s="522"/>
      <c r="F111" s="519"/>
      <c r="G111" s="522"/>
      <c r="H111" s="522"/>
      <c r="I111" s="522"/>
      <c r="J111" s="519"/>
      <c r="K111" s="520"/>
      <c r="L111" s="605" t="s">
        <v>375</v>
      </c>
      <c r="M111" s="489"/>
      <c r="N111" s="736"/>
      <c r="O111" s="502">
        <f>74.93+107+109.9+1813.69+376.11+1176.87</f>
        <v>3658.5</v>
      </c>
      <c r="P111" s="549"/>
      <c r="Q111" s="562"/>
    </row>
    <row r="112" spans="1:22" s="391" customFormat="1" ht="59.25" customHeight="1">
      <c r="A112" s="462" t="s">
        <v>44</v>
      </c>
      <c r="B112" s="463" t="s">
        <v>13</v>
      </c>
      <c r="C112" s="532">
        <v>1711.6</v>
      </c>
      <c r="D112" s="532"/>
      <c r="E112" s="532"/>
      <c r="F112" s="523">
        <f>E112+D112+C112</f>
        <v>1711.6</v>
      </c>
      <c r="G112" s="532">
        <v>1190.8</v>
      </c>
      <c r="H112" s="532"/>
      <c r="I112" s="532"/>
      <c r="J112" s="523">
        <f>I112+H112+G112</f>
        <v>1190.8</v>
      </c>
      <c r="K112" s="524">
        <f>J112*100/F112</f>
        <v>69.57232998364104</v>
      </c>
      <c r="L112" s="422" t="s">
        <v>356</v>
      </c>
      <c r="M112" s="416">
        <v>611.5</v>
      </c>
      <c r="N112" s="758"/>
      <c r="O112" s="389">
        <v>1190.8</v>
      </c>
      <c r="P112" s="562">
        <f>J112-O112</f>
        <v>0</v>
      </c>
      <c r="Q112" s="569"/>
    </row>
    <row r="113" spans="1:18" s="391" customFormat="1" ht="132" customHeight="1">
      <c r="A113" s="510" t="s">
        <v>46</v>
      </c>
      <c r="B113" s="773" t="s">
        <v>30</v>
      </c>
      <c r="C113" s="556">
        <v>34485.5</v>
      </c>
      <c r="D113" s="556">
        <v>149840</v>
      </c>
      <c r="E113" s="556"/>
      <c r="F113" s="556">
        <f>E113+D113+C113</f>
        <v>184325.5</v>
      </c>
      <c r="G113" s="556">
        <v>26042.2</v>
      </c>
      <c r="H113" s="556">
        <v>97242.2</v>
      </c>
      <c r="I113" s="556"/>
      <c r="J113" s="556">
        <f>SUM(G113:I113)</f>
        <v>123284.4</v>
      </c>
      <c r="K113" s="552">
        <f>J113*100/F113</f>
        <v>66.884071927107215</v>
      </c>
      <c r="L113" s="388" t="s">
        <v>421</v>
      </c>
      <c r="M113" s="479">
        <f>10429.1+2836.6+17.88+1+111.86+4.1+47.7+70.55+583.06+171.75+89.3+0.8</f>
        <v>14363.699999999999</v>
      </c>
      <c r="N113" s="753" t="e">
        <f>M113+M114+M115+M116+M117+M119+#REF!+#REF!</f>
        <v>#REF!</v>
      </c>
      <c r="O113" s="479">
        <f>10421.8+11.9+2952.9+120.3+28.6+748.5+78.1+10+5.4+0.8</f>
        <v>14378.299999999997</v>
      </c>
      <c r="P113" s="738">
        <f>O113+O114+O115+O116+O117+O119+O118+O120</f>
        <v>123284.40000000001</v>
      </c>
      <c r="Q113" s="562">
        <f>J113-P113</f>
        <v>0</v>
      </c>
    </row>
    <row r="114" spans="1:18" s="391" customFormat="1" ht="76.5" customHeight="1">
      <c r="A114" s="509"/>
      <c r="B114" s="774"/>
      <c r="C114" s="519"/>
      <c r="D114" s="519"/>
      <c r="E114" s="519"/>
      <c r="F114" s="519"/>
      <c r="G114" s="519"/>
      <c r="H114" s="519"/>
      <c r="I114" s="519"/>
      <c r="J114" s="519"/>
      <c r="K114" s="520"/>
      <c r="L114" s="415" t="s">
        <v>416</v>
      </c>
      <c r="M114" s="489">
        <v>95040.2</v>
      </c>
      <c r="N114" s="754"/>
      <c r="O114" s="489">
        <v>96049.1</v>
      </c>
      <c r="P114" s="739"/>
      <c r="Q114" s="569"/>
    </row>
    <row r="115" spans="1:18" s="391" customFormat="1" ht="110.25" customHeight="1">
      <c r="A115" s="509"/>
      <c r="B115" s="419"/>
      <c r="C115" s="519"/>
      <c r="D115" s="519"/>
      <c r="E115" s="519"/>
      <c r="F115" s="519"/>
      <c r="G115" s="519"/>
      <c r="H115" s="519"/>
      <c r="I115" s="519"/>
      <c r="J115" s="519"/>
      <c r="K115" s="520"/>
      <c r="L115" s="415" t="s">
        <v>420</v>
      </c>
      <c r="M115" s="489">
        <f>5375+41.08+181.2+1526.71+69.2+19.97+130.15+25.16+22.75+41.65+5.29+0.44</f>
        <v>7438.5999999999985</v>
      </c>
      <c r="N115" s="754"/>
      <c r="O115" s="489">
        <f>5889.5+9.7+1610+59.3+31.3+65.6+4.7+12.1+54.3+2+0.4</f>
        <v>7738.9000000000005</v>
      </c>
      <c r="P115" s="739"/>
      <c r="Q115" s="569"/>
    </row>
    <row r="116" spans="1:18" s="391" customFormat="1" ht="82.5" customHeight="1">
      <c r="A116" s="509"/>
      <c r="B116" s="419"/>
      <c r="C116" s="519"/>
      <c r="D116" s="519"/>
      <c r="E116" s="519"/>
      <c r="F116" s="519"/>
      <c r="G116" s="519"/>
      <c r="H116" s="519"/>
      <c r="I116" s="519"/>
      <c r="J116" s="519"/>
      <c r="K116" s="520"/>
      <c r="L116" s="415" t="s">
        <v>419</v>
      </c>
      <c r="M116" s="489">
        <v>512.79999999999995</v>
      </c>
      <c r="N116" s="754"/>
      <c r="O116" s="489">
        <v>509.9</v>
      </c>
      <c r="P116" s="739"/>
      <c r="Q116" s="569"/>
    </row>
    <row r="117" spans="1:18" s="391" customFormat="1" ht="52.5" customHeight="1">
      <c r="A117" s="509"/>
      <c r="B117" s="419"/>
      <c r="C117" s="519"/>
      <c r="D117" s="519"/>
      <c r="E117" s="519"/>
      <c r="F117" s="519"/>
      <c r="G117" s="519"/>
      <c r="H117" s="519"/>
      <c r="I117" s="519"/>
      <c r="J117" s="519"/>
      <c r="K117" s="520"/>
      <c r="L117" s="415" t="s">
        <v>417</v>
      </c>
      <c r="M117" s="489">
        <v>563.20000000000005</v>
      </c>
      <c r="N117" s="432"/>
      <c r="O117" s="489">
        <v>498.1</v>
      </c>
      <c r="P117" s="739"/>
      <c r="Q117" s="569"/>
    </row>
    <row r="118" spans="1:18" s="391" customFormat="1" ht="33" customHeight="1">
      <c r="A118" s="509"/>
      <c r="B118" s="419"/>
      <c r="C118" s="519"/>
      <c r="D118" s="519"/>
      <c r="E118" s="519"/>
      <c r="F118" s="519"/>
      <c r="G118" s="519"/>
      <c r="H118" s="519"/>
      <c r="I118" s="519"/>
      <c r="J118" s="519"/>
      <c r="K118" s="520"/>
      <c r="L118" s="415" t="s">
        <v>418</v>
      </c>
      <c r="M118" s="489"/>
      <c r="N118" s="432"/>
      <c r="O118" s="489">
        <v>172.1</v>
      </c>
      <c r="P118" s="739"/>
      <c r="Q118" s="569"/>
    </row>
    <row r="119" spans="1:18" s="391" customFormat="1" ht="51.75" customHeight="1">
      <c r="A119" s="509"/>
      <c r="B119" s="419"/>
      <c r="C119" s="519"/>
      <c r="D119" s="519"/>
      <c r="E119" s="519"/>
      <c r="F119" s="519"/>
      <c r="G119" s="519"/>
      <c r="H119" s="519"/>
      <c r="I119" s="519"/>
      <c r="J119" s="519"/>
      <c r="K119" s="520"/>
      <c r="L119" s="415" t="s">
        <v>364</v>
      </c>
      <c r="M119" s="489">
        <v>15</v>
      </c>
      <c r="N119" s="432"/>
      <c r="O119" s="416">
        <v>13</v>
      </c>
      <c r="P119" s="772"/>
      <c r="Q119" s="569"/>
    </row>
    <row r="120" spans="1:18" s="391" customFormat="1" ht="84.75" customHeight="1">
      <c r="A120" s="599"/>
      <c r="B120" s="600"/>
      <c r="C120" s="519"/>
      <c r="D120" s="519"/>
      <c r="E120" s="519"/>
      <c r="F120" s="519"/>
      <c r="G120" s="519"/>
      <c r="H120" s="519"/>
      <c r="I120" s="519"/>
      <c r="J120" s="519"/>
      <c r="K120" s="580"/>
      <c r="L120" s="419" t="s">
        <v>422</v>
      </c>
      <c r="M120" s="490"/>
      <c r="N120" s="428"/>
      <c r="O120" s="490">
        <v>3925</v>
      </c>
      <c r="P120" s="549"/>
      <c r="Q120" s="596"/>
    </row>
    <row r="121" spans="1:18" s="391" customFormat="1" ht="65.25" customHeight="1">
      <c r="A121" s="466" t="s">
        <v>47</v>
      </c>
      <c r="B121" s="423" t="s">
        <v>78</v>
      </c>
      <c r="C121" s="523">
        <v>1937.9</v>
      </c>
      <c r="D121" s="523">
        <v>14.8</v>
      </c>
      <c r="E121" s="523">
        <v>1470</v>
      </c>
      <c r="F121" s="523">
        <f>C121+D121+E121</f>
        <v>3422.7</v>
      </c>
      <c r="G121" s="523">
        <v>149.6</v>
      </c>
      <c r="H121" s="523">
        <v>14.8</v>
      </c>
      <c r="I121" s="523">
        <v>1469.9</v>
      </c>
      <c r="J121" s="523">
        <f>I121+H121+G121</f>
        <v>1634.3</v>
      </c>
      <c r="K121" s="524">
        <f>J121*100/F121</f>
        <v>47.748853244514564</v>
      </c>
      <c r="L121" s="422" t="s">
        <v>376</v>
      </c>
      <c r="M121" s="389">
        <v>2741.2</v>
      </c>
      <c r="N121" s="390"/>
      <c r="O121" s="389"/>
      <c r="P121" s="562"/>
      <c r="Q121" s="569"/>
    </row>
    <row r="122" spans="1:18" s="391" customFormat="1" ht="276" customHeight="1">
      <c r="A122" s="778" t="s">
        <v>49</v>
      </c>
      <c r="B122" s="780" t="s">
        <v>87</v>
      </c>
      <c r="C122" s="556">
        <v>4239.2</v>
      </c>
      <c r="D122" s="556">
        <v>660</v>
      </c>
      <c r="E122" s="556"/>
      <c r="F122" s="556">
        <f>E122+D122+C122</f>
        <v>4899.2</v>
      </c>
      <c r="G122" s="775">
        <v>1507.9</v>
      </c>
      <c r="H122" s="775">
        <v>496.1</v>
      </c>
      <c r="I122" s="748"/>
      <c r="J122" s="775">
        <f>I122+H122+G122</f>
        <v>2004</v>
      </c>
      <c r="K122" s="750">
        <f>J122*100/F122</f>
        <v>40.904637491835402</v>
      </c>
      <c r="L122" s="606" t="s">
        <v>475</v>
      </c>
      <c r="M122" s="479">
        <f>152.6+73.5+1208.5+2.5+37.2+7.5+71.3+3.9+205.2+0.1</f>
        <v>1762.3</v>
      </c>
      <c r="N122" s="753">
        <f>M122+M123</f>
        <v>2234.1999999999998</v>
      </c>
      <c r="O122" s="479">
        <f>392.3+31.2+123.6+763.9+22.1+7+4.5+30.8+108.6+17.9+6</f>
        <v>1507.8999999999999</v>
      </c>
      <c r="P122" s="733">
        <f>O122+O123</f>
        <v>2004</v>
      </c>
      <c r="Q122" s="771">
        <f>J122-P122</f>
        <v>0</v>
      </c>
    </row>
    <row r="123" spans="1:18" s="391" customFormat="1" ht="72.75" customHeight="1">
      <c r="A123" s="779"/>
      <c r="B123" s="781"/>
      <c r="C123" s="557"/>
      <c r="D123" s="557"/>
      <c r="E123" s="557"/>
      <c r="F123" s="557"/>
      <c r="G123" s="776"/>
      <c r="H123" s="776"/>
      <c r="I123" s="749"/>
      <c r="J123" s="776"/>
      <c r="K123" s="751"/>
      <c r="L123" s="621" t="s">
        <v>393</v>
      </c>
      <c r="M123" s="416">
        <v>471.9</v>
      </c>
      <c r="N123" s="755"/>
      <c r="O123" s="416">
        <v>496.1</v>
      </c>
      <c r="P123" s="765"/>
      <c r="Q123" s="771"/>
    </row>
    <row r="124" spans="1:18" s="391" customFormat="1" ht="142.5" customHeight="1">
      <c r="A124" s="578" t="s">
        <v>50</v>
      </c>
      <c r="B124" s="583" t="s">
        <v>79</v>
      </c>
      <c r="C124" s="577">
        <f t="shared" ref="C124:J124" si="5">C125+C127+C129</f>
        <v>22152.1</v>
      </c>
      <c r="D124" s="577">
        <f t="shared" si="5"/>
        <v>20333.7</v>
      </c>
      <c r="E124" s="577">
        <f t="shared" si="5"/>
        <v>8917.6</v>
      </c>
      <c r="F124" s="577">
        <f t="shared" si="5"/>
        <v>51403.4</v>
      </c>
      <c r="G124" s="577">
        <f t="shared" si="5"/>
        <v>14125</v>
      </c>
      <c r="H124" s="577">
        <f t="shared" si="5"/>
        <v>17256</v>
      </c>
      <c r="I124" s="577">
        <f t="shared" si="5"/>
        <v>1229.5</v>
      </c>
      <c r="J124" s="577">
        <f t="shared" si="5"/>
        <v>32610.5</v>
      </c>
      <c r="K124" s="576">
        <f t="shared" ref="K124:K130" si="6">J124*100/F124</f>
        <v>63.44035608539513</v>
      </c>
      <c r="L124" s="505"/>
      <c r="M124" s="479"/>
      <c r="N124" s="467" t="e">
        <f>M125+#REF!+M129</f>
        <v>#REF!</v>
      </c>
      <c r="O124" s="389"/>
      <c r="P124" s="562"/>
      <c r="Q124" s="569"/>
    </row>
    <row r="125" spans="1:18" s="391" customFormat="1" ht="134.25" customHeight="1">
      <c r="A125" s="782" t="s">
        <v>51</v>
      </c>
      <c r="B125" s="427" t="s">
        <v>14</v>
      </c>
      <c r="C125" s="527">
        <v>4575.6000000000004</v>
      </c>
      <c r="D125" s="527">
        <v>20333.7</v>
      </c>
      <c r="E125" s="527">
        <v>8917.6</v>
      </c>
      <c r="F125" s="528">
        <f>E125+D125+C125</f>
        <v>33826.9</v>
      </c>
      <c r="G125" s="527">
        <v>2285.6</v>
      </c>
      <c r="H125" s="527">
        <v>17256</v>
      </c>
      <c r="I125" s="527">
        <v>1229.5</v>
      </c>
      <c r="J125" s="528">
        <f>I125+H125+G125</f>
        <v>20771.099999999999</v>
      </c>
      <c r="K125" s="529">
        <f t="shared" si="6"/>
        <v>61.404089644631924</v>
      </c>
      <c r="L125" s="619" t="s">
        <v>380</v>
      </c>
      <c r="M125" s="502">
        <f>38.1+140+20</f>
        <v>198.1</v>
      </c>
      <c r="N125" s="432"/>
      <c r="O125" s="479">
        <f>36.5+343+60</f>
        <v>439.5</v>
      </c>
      <c r="P125" s="563">
        <f>O125+O126+O127+O128</f>
        <v>20771.099999999999</v>
      </c>
      <c r="Q125" s="562">
        <f>J124-P125-O129</f>
        <v>0</v>
      </c>
      <c r="R125" s="468"/>
    </row>
    <row r="126" spans="1:18" s="391" customFormat="1" ht="217.5" customHeight="1">
      <c r="A126" s="782"/>
      <c r="B126" s="427"/>
      <c r="C126" s="527"/>
      <c r="D126" s="527"/>
      <c r="E126" s="527"/>
      <c r="F126" s="528"/>
      <c r="G126" s="527"/>
      <c r="H126" s="527"/>
      <c r="I126" s="527"/>
      <c r="J126" s="528"/>
      <c r="K126" s="529"/>
      <c r="L126" s="613" t="s">
        <v>465</v>
      </c>
      <c r="M126" s="502"/>
      <c r="N126" s="432"/>
      <c r="O126" s="489">
        <f>34.6+630.2+80</f>
        <v>744.80000000000007</v>
      </c>
      <c r="P126" s="573"/>
      <c r="Q126" s="574"/>
      <c r="R126" s="468"/>
    </row>
    <row r="127" spans="1:18" s="391" customFormat="1" ht="99.75" customHeight="1">
      <c r="A127" s="782"/>
      <c r="B127" s="427"/>
      <c r="C127" s="527"/>
      <c r="D127" s="527"/>
      <c r="E127" s="527"/>
      <c r="F127" s="528"/>
      <c r="G127" s="527"/>
      <c r="H127" s="527"/>
      <c r="I127" s="527"/>
      <c r="J127" s="528"/>
      <c r="K127" s="529"/>
      <c r="L127" s="612" t="s">
        <v>366</v>
      </c>
      <c r="M127" s="489"/>
      <c r="N127" s="432"/>
      <c r="O127" s="489">
        <f>16802+1088.7+441.6</f>
        <v>18332.3</v>
      </c>
      <c r="P127" s="567"/>
      <c r="Q127" s="569"/>
    </row>
    <row r="128" spans="1:18" s="391" customFormat="1" ht="99.75" customHeight="1">
      <c r="A128" s="465"/>
      <c r="B128" s="427"/>
      <c r="C128" s="527"/>
      <c r="D128" s="527"/>
      <c r="E128" s="527"/>
      <c r="F128" s="528"/>
      <c r="G128" s="581"/>
      <c r="H128" s="581"/>
      <c r="I128" s="581"/>
      <c r="J128" s="582"/>
      <c r="K128" s="538"/>
      <c r="L128" s="622" t="s">
        <v>379</v>
      </c>
      <c r="M128" s="490"/>
      <c r="N128" s="428"/>
      <c r="O128" s="490">
        <f>12.6+12.4+1229.5</f>
        <v>1254.5</v>
      </c>
      <c r="P128" s="573"/>
      <c r="Q128" s="575"/>
    </row>
    <row r="129" spans="1:26" ht="135.75" customHeight="1">
      <c r="A129" s="507" t="s">
        <v>52</v>
      </c>
      <c r="B129" s="572" t="s">
        <v>5</v>
      </c>
      <c r="C129" s="525">
        <v>17576.5</v>
      </c>
      <c r="D129" s="525"/>
      <c r="E129" s="525"/>
      <c r="F129" s="526">
        <f>E129+D129+C129</f>
        <v>17576.5</v>
      </c>
      <c r="G129" s="555">
        <v>11839.4</v>
      </c>
      <c r="H129" s="555"/>
      <c r="I129" s="555"/>
      <c r="J129" s="554">
        <f>I129+H129+G129</f>
        <v>11839.4</v>
      </c>
      <c r="K129" s="552">
        <f t="shared" si="6"/>
        <v>67.359258100304388</v>
      </c>
      <c r="L129" s="506" t="s">
        <v>377</v>
      </c>
      <c r="M129" s="416">
        <f>8128.45+41.23+2+2331.96+81.6+206.1+77.1+417.1+153.1+243.1+88.56+2.3+3.1</f>
        <v>11775.7</v>
      </c>
      <c r="N129" s="481"/>
      <c r="O129" s="490">
        <f>8577.9+6.6+2318.7+84.5+165+120.3+328.8+110+1.2+2.4+117+7</f>
        <v>11839.4</v>
      </c>
      <c r="P129" s="567"/>
    </row>
    <row r="130" spans="1:26" ht="91.5" customHeight="1">
      <c r="A130" s="420" t="s">
        <v>53</v>
      </c>
      <c r="B130" s="421" t="s">
        <v>80</v>
      </c>
      <c r="C130" s="523">
        <v>50</v>
      </c>
      <c r="D130" s="523"/>
      <c r="E130" s="523"/>
      <c r="F130" s="523">
        <f>E130+D130+C130</f>
        <v>50</v>
      </c>
      <c r="G130" s="523">
        <v>0</v>
      </c>
      <c r="H130" s="523"/>
      <c r="I130" s="523"/>
      <c r="J130" s="523">
        <f>SUM(G130:I130)</f>
        <v>0</v>
      </c>
      <c r="K130" s="524">
        <f t="shared" si="6"/>
        <v>0</v>
      </c>
      <c r="L130" s="435" t="s">
        <v>362</v>
      </c>
    </row>
    <row r="131" spans="1:26" s="439" customFormat="1" ht="40.5" customHeight="1">
      <c r="A131" s="783" t="s">
        <v>54</v>
      </c>
      <c r="B131" s="784"/>
      <c r="C131" s="540">
        <f t="shared" ref="C131:J131" si="7">C108+C124+C122+C97+C121+C101+C102+C52+C85+C107+C78+C53+C17+C113+C130+C16+C7</f>
        <v>818166.59999999986</v>
      </c>
      <c r="D131" s="540">
        <f t="shared" si="7"/>
        <v>1187426.2999999998</v>
      </c>
      <c r="E131" s="540">
        <f t="shared" si="7"/>
        <v>150466.00000000003</v>
      </c>
      <c r="F131" s="540">
        <f t="shared" si="7"/>
        <v>2156058.9000000004</v>
      </c>
      <c r="G131" s="540">
        <f t="shared" si="7"/>
        <v>482298.2</v>
      </c>
      <c r="H131" s="540">
        <f t="shared" si="7"/>
        <v>722915.39999999991</v>
      </c>
      <c r="I131" s="540">
        <f t="shared" si="7"/>
        <v>99717.2</v>
      </c>
      <c r="J131" s="540">
        <f t="shared" si="7"/>
        <v>1304930.7999999998</v>
      </c>
      <c r="K131" s="541">
        <f>J131/F131*100</f>
        <v>60.523893850951829</v>
      </c>
      <c r="L131" s="493"/>
      <c r="M131" s="389"/>
      <c r="N131" s="390"/>
      <c r="O131" s="389"/>
      <c r="P131" s="562"/>
      <c r="Q131" s="569"/>
      <c r="R131" s="469"/>
      <c r="S131" s="469"/>
      <c r="T131" s="469"/>
      <c r="U131" s="469"/>
      <c r="V131" s="469"/>
      <c r="W131" s="469"/>
      <c r="X131" s="469"/>
      <c r="Y131" s="469"/>
      <c r="Z131" s="469"/>
    </row>
    <row r="132" spans="1:26" ht="27.75" customHeight="1">
      <c r="A132" s="470"/>
      <c r="B132" s="471"/>
      <c r="C132" s="542"/>
      <c r="D132" s="542"/>
      <c r="E132" s="542"/>
      <c r="F132" s="542"/>
      <c r="G132" s="542"/>
      <c r="H132" s="542"/>
      <c r="I132" s="542"/>
      <c r="J132" s="542"/>
      <c r="K132" s="543"/>
      <c r="L132" s="470"/>
    </row>
    <row r="133" spans="1:26" ht="27.75" customHeight="1">
      <c r="A133" s="470"/>
      <c r="B133" s="471"/>
      <c r="C133" s="542"/>
      <c r="D133" s="542"/>
      <c r="E133" s="542"/>
      <c r="F133" s="542"/>
      <c r="G133" s="542"/>
      <c r="H133" s="542"/>
      <c r="I133" s="542"/>
      <c r="J133" s="542"/>
      <c r="K133" s="543"/>
      <c r="L133" s="470"/>
    </row>
    <row r="134" spans="1:26" ht="82.5" customHeight="1">
      <c r="A134" s="785" t="s">
        <v>358</v>
      </c>
      <c r="B134" s="785"/>
      <c r="C134" s="785"/>
      <c r="D134" s="785"/>
      <c r="E134" s="785"/>
      <c r="F134" s="785"/>
      <c r="G134" s="472"/>
      <c r="H134" s="472"/>
      <c r="I134" s="472"/>
      <c r="J134" s="472"/>
      <c r="K134" s="544"/>
      <c r="L134" s="470"/>
    </row>
    <row r="135" spans="1:26">
      <c r="A135" s="785"/>
      <c r="B135" s="785"/>
      <c r="C135" s="785"/>
      <c r="D135" s="785"/>
      <c r="E135" s="785"/>
      <c r="F135" s="785"/>
      <c r="G135" s="472"/>
      <c r="H135" s="472"/>
      <c r="I135" s="472"/>
      <c r="J135" s="472"/>
      <c r="K135" s="544"/>
      <c r="L135" s="470"/>
    </row>
    <row r="136" spans="1:26">
      <c r="A136" s="785"/>
      <c r="B136" s="785"/>
      <c r="C136" s="785"/>
      <c r="D136" s="785"/>
      <c r="E136" s="785"/>
      <c r="F136" s="785"/>
    </row>
    <row r="137" spans="1:26" ht="20.25" customHeight="1">
      <c r="A137" s="785"/>
      <c r="B137" s="785"/>
      <c r="C137" s="785"/>
      <c r="D137" s="785"/>
      <c r="E137" s="785"/>
      <c r="F137" s="785"/>
      <c r="L137" s="392" t="s">
        <v>56</v>
      </c>
    </row>
    <row r="138" spans="1:26" ht="48.75" customHeight="1">
      <c r="D138" s="546"/>
      <c r="E138" s="546"/>
      <c r="L138" s="404"/>
    </row>
    <row r="139" spans="1:26">
      <c r="A139" s="392" t="s">
        <v>57</v>
      </c>
      <c r="D139" s="546"/>
      <c r="E139" s="546"/>
      <c r="L139" s="474"/>
    </row>
    <row r="140" spans="1:26">
      <c r="A140" s="392" t="s">
        <v>70</v>
      </c>
      <c r="D140" s="546"/>
      <c r="E140" s="546"/>
      <c r="L140" s="474"/>
    </row>
    <row r="141" spans="1:26" s="389" customFormat="1">
      <c r="A141" s="392" t="s">
        <v>357</v>
      </c>
      <c r="B141" s="392"/>
      <c r="C141" s="395"/>
      <c r="D141" s="546"/>
      <c r="E141" s="546"/>
      <c r="F141" s="396"/>
      <c r="G141" s="395"/>
      <c r="H141" s="395"/>
      <c r="I141" s="395"/>
      <c r="J141" s="396"/>
      <c r="K141" s="545"/>
      <c r="L141" s="473"/>
      <c r="N141" s="390"/>
      <c r="P141" s="562"/>
      <c r="Q141" s="569"/>
      <c r="R141" s="391"/>
      <c r="S141" s="391"/>
      <c r="T141" s="391"/>
      <c r="U141" s="391"/>
      <c r="V141" s="391"/>
      <c r="W141" s="391"/>
      <c r="X141" s="391"/>
      <c r="Y141" s="391"/>
      <c r="Z141" s="391"/>
    </row>
    <row r="142" spans="1:26" s="389" customFormat="1" ht="24.75" customHeight="1">
      <c r="A142" s="777" t="s">
        <v>110</v>
      </c>
      <c r="B142" s="777"/>
      <c r="C142" s="395"/>
      <c r="D142" s="546"/>
      <c r="E142" s="546"/>
      <c r="F142" s="396"/>
      <c r="G142" s="395"/>
      <c r="H142" s="395"/>
      <c r="I142" s="395"/>
      <c r="J142" s="396"/>
      <c r="K142" s="545"/>
      <c r="L142" s="475"/>
      <c r="N142" s="390"/>
      <c r="P142" s="562"/>
      <c r="Q142" s="569"/>
      <c r="R142" s="391"/>
      <c r="S142" s="391"/>
      <c r="T142" s="391"/>
      <c r="U142" s="391"/>
      <c r="V142" s="391"/>
      <c r="W142" s="391"/>
      <c r="X142" s="391"/>
      <c r="Y142" s="391"/>
      <c r="Z142" s="391"/>
    </row>
    <row r="143" spans="1:26" s="389" customFormat="1">
      <c r="A143" s="392"/>
      <c r="B143" s="392"/>
      <c r="C143" s="395"/>
      <c r="D143" s="546"/>
      <c r="E143" s="546"/>
      <c r="F143" s="396"/>
      <c r="G143" s="395"/>
      <c r="H143" s="395"/>
      <c r="I143" s="395"/>
      <c r="J143" s="396"/>
      <c r="K143" s="545"/>
      <c r="L143" s="392"/>
      <c r="N143" s="390"/>
      <c r="P143" s="562"/>
      <c r="Q143" s="569"/>
      <c r="R143" s="391"/>
      <c r="S143" s="391"/>
      <c r="T143" s="391"/>
      <c r="U143" s="391"/>
      <c r="V143" s="391"/>
      <c r="W143" s="391"/>
      <c r="X143" s="391"/>
      <c r="Y143" s="391"/>
      <c r="Z143" s="391"/>
    </row>
    <row r="144" spans="1:26" s="389" customFormat="1">
      <c r="A144" s="392"/>
      <c r="B144" s="392"/>
      <c r="C144" s="395"/>
      <c r="D144" s="546"/>
      <c r="E144" s="546"/>
      <c r="F144" s="396"/>
      <c r="G144" s="395"/>
      <c r="H144" s="395"/>
      <c r="I144" s="395"/>
      <c r="J144" s="396"/>
      <c r="K144" s="545"/>
      <c r="L144" s="392"/>
      <c r="N144" s="390"/>
      <c r="P144" s="562"/>
      <c r="Q144" s="569"/>
      <c r="R144" s="391"/>
      <c r="S144" s="391"/>
      <c r="T144" s="391"/>
      <c r="U144" s="391"/>
      <c r="V144" s="391"/>
      <c r="W144" s="391"/>
      <c r="X144" s="391"/>
      <c r="Y144" s="391"/>
      <c r="Z144" s="391"/>
    </row>
    <row r="145" spans="1:26" s="389" customFormat="1">
      <c r="A145" s="392"/>
      <c r="B145" s="392"/>
      <c r="C145" s="395"/>
      <c r="D145" s="546"/>
      <c r="E145" s="546"/>
      <c r="F145" s="396"/>
      <c r="G145" s="395"/>
      <c r="H145" s="395"/>
      <c r="I145" s="395"/>
      <c r="J145" s="396"/>
      <c r="K145" s="545"/>
      <c r="L145" s="474"/>
      <c r="N145" s="390"/>
      <c r="P145" s="562"/>
      <c r="Q145" s="569"/>
      <c r="R145" s="391"/>
      <c r="S145" s="391"/>
      <c r="T145" s="391"/>
      <c r="U145" s="391"/>
      <c r="V145" s="391"/>
      <c r="W145" s="391"/>
      <c r="X145" s="391"/>
      <c r="Y145" s="391"/>
      <c r="Z145" s="391"/>
    </row>
    <row r="146" spans="1:26" s="389" customFormat="1">
      <c r="A146" s="392"/>
      <c r="B146" s="392"/>
      <c r="C146" s="395"/>
      <c r="D146" s="546"/>
      <c r="E146" s="546"/>
      <c r="F146" s="396"/>
      <c r="G146" s="395"/>
      <c r="H146" s="395"/>
      <c r="I146" s="395"/>
      <c r="J146" s="396"/>
      <c r="K146" s="545"/>
      <c r="L146" s="474"/>
      <c r="N146" s="390"/>
      <c r="P146" s="562"/>
      <c r="Q146" s="569"/>
      <c r="R146" s="391"/>
      <c r="S146" s="391"/>
      <c r="T146" s="391"/>
      <c r="U146" s="391"/>
      <c r="V146" s="391"/>
      <c r="W146" s="391"/>
      <c r="X146" s="391"/>
      <c r="Y146" s="391"/>
      <c r="Z146" s="391"/>
    </row>
    <row r="147" spans="1:26" s="389" customFormat="1">
      <c r="A147" s="392"/>
      <c r="B147" s="392"/>
      <c r="C147" s="395"/>
      <c r="D147" s="546"/>
      <c r="E147" s="546"/>
      <c r="F147" s="396"/>
      <c r="G147" s="395"/>
      <c r="H147" s="395"/>
      <c r="I147" s="395"/>
      <c r="J147" s="396"/>
      <c r="K147" s="545"/>
      <c r="L147" s="392"/>
      <c r="N147" s="390"/>
      <c r="P147" s="562"/>
      <c r="Q147" s="569"/>
      <c r="R147" s="391"/>
      <c r="S147" s="391"/>
      <c r="T147" s="391"/>
      <c r="U147" s="391"/>
      <c r="V147" s="391"/>
      <c r="W147" s="391"/>
      <c r="X147" s="391"/>
      <c r="Y147" s="391"/>
      <c r="Z147" s="391"/>
    </row>
    <row r="148" spans="1:26" s="389" customFormat="1">
      <c r="A148" s="392"/>
      <c r="B148" s="392"/>
      <c r="C148" s="395"/>
      <c r="D148" s="546"/>
      <c r="E148" s="546"/>
      <c r="F148" s="396"/>
      <c r="G148" s="395"/>
      <c r="H148" s="395"/>
      <c r="I148" s="395"/>
      <c r="J148" s="396"/>
      <c r="K148" s="545"/>
      <c r="L148" s="392"/>
      <c r="N148" s="390"/>
      <c r="P148" s="562"/>
      <c r="Q148" s="569"/>
      <c r="R148" s="391"/>
      <c r="S148" s="391"/>
      <c r="T148" s="391"/>
      <c r="U148" s="391"/>
      <c r="V148" s="391"/>
      <c r="W148" s="391"/>
      <c r="X148" s="391"/>
      <c r="Y148" s="391"/>
      <c r="Z148" s="391"/>
    </row>
    <row r="149" spans="1:26" s="389" customFormat="1">
      <c r="A149" s="392"/>
      <c r="B149" s="392"/>
      <c r="C149" s="395"/>
      <c r="D149" s="546"/>
      <c r="E149" s="546"/>
      <c r="F149" s="396"/>
      <c r="G149" s="395"/>
      <c r="H149" s="395"/>
      <c r="I149" s="395"/>
      <c r="J149" s="396"/>
      <c r="K149" s="545"/>
      <c r="L149" s="392"/>
      <c r="N149" s="390"/>
      <c r="P149" s="562"/>
      <c r="Q149" s="569"/>
      <c r="R149" s="391"/>
      <c r="S149" s="391"/>
      <c r="T149" s="391"/>
      <c r="U149" s="391"/>
      <c r="V149" s="391"/>
      <c r="W149" s="391"/>
      <c r="X149" s="391"/>
      <c r="Y149" s="391"/>
      <c r="Z149" s="391"/>
    </row>
    <row r="150" spans="1:26" s="389" customFormat="1">
      <c r="A150" s="392"/>
      <c r="B150" s="392"/>
      <c r="C150" s="395"/>
      <c r="D150" s="546"/>
      <c r="E150" s="546"/>
      <c r="F150" s="396"/>
      <c r="G150" s="395"/>
      <c r="H150" s="395"/>
      <c r="I150" s="395"/>
      <c r="J150" s="396"/>
      <c r="K150" s="545"/>
      <c r="L150" s="392"/>
      <c r="N150" s="390"/>
      <c r="P150" s="562"/>
      <c r="Q150" s="569"/>
      <c r="R150" s="391"/>
      <c r="S150" s="391"/>
      <c r="T150" s="391"/>
      <c r="U150" s="391"/>
      <c r="V150" s="391"/>
      <c r="W150" s="391"/>
      <c r="X150" s="391"/>
      <c r="Y150" s="391"/>
      <c r="Z150" s="391"/>
    </row>
    <row r="151" spans="1:26" s="389" customFormat="1">
      <c r="A151" s="392"/>
      <c r="B151" s="392"/>
      <c r="C151" s="395"/>
      <c r="D151" s="546"/>
      <c r="E151" s="546"/>
      <c r="F151" s="396"/>
      <c r="G151" s="395"/>
      <c r="H151" s="395"/>
      <c r="I151" s="395"/>
      <c r="J151" s="396"/>
      <c r="K151" s="545"/>
      <c r="L151" s="392"/>
      <c r="N151" s="390"/>
      <c r="P151" s="562"/>
      <c r="Q151" s="569"/>
      <c r="R151" s="391"/>
      <c r="S151" s="391"/>
      <c r="T151" s="391"/>
      <c r="U151" s="391"/>
      <c r="V151" s="391"/>
      <c r="W151" s="391"/>
      <c r="X151" s="391"/>
      <c r="Y151" s="391"/>
      <c r="Z151" s="391"/>
    </row>
    <row r="152" spans="1:26" s="389" customFormat="1">
      <c r="A152" s="392"/>
      <c r="B152" s="392"/>
      <c r="C152" s="395"/>
      <c r="D152" s="546"/>
      <c r="E152" s="395"/>
      <c r="F152" s="396"/>
      <c r="G152" s="395"/>
      <c r="H152" s="395"/>
      <c r="I152" s="395"/>
      <c r="J152" s="396"/>
      <c r="K152" s="545"/>
      <c r="L152" s="392"/>
      <c r="N152" s="390"/>
      <c r="P152" s="562"/>
      <c r="Q152" s="569"/>
      <c r="R152" s="391"/>
      <c r="S152" s="391"/>
      <c r="T152" s="391"/>
      <c r="U152" s="391"/>
      <c r="V152" s="391"/>
      <c r="W152" s="391"/>
      <c r="X152" s="391"/>
      <c r="Y152" s="391"/>
      <c r="Z152" s="391"/>
    </row>
    <row r="153" spans="1:26" s="389" customFormat="1">
      <c r="A153" s="392"/>
      <c r="B153" s="392"/>
      <c r="C153" s="395"/>
      <c r="D153" s="546"/>
      <c r="E153" s="395"/>
      <c r="F153" s="396"/>
      <c r="G153" s="395"/>
      <c r="H153" s="395"/>
      <c r="I153" s="395"/>
      <c r="J153" s="396"/>
      <c r="K153" s="545"/>
      <c r="L153" s="392"/>
      <c r="N153" s="390"/>
      <c r="P153" s="562"/>
      <c r="Q153" s="569"/>
      <c r="R153" s="391"/>
      <c r="S153" s="391"/>
      <c r="T153" s="391"/>
      <c r="U153" s="391"/>
      <c r="V153" s="391"/>
      <c r="W153" s="391"/>
      <c r="X153" s="391"/>
      <c r="Y153" s="391"/>
      <c r="Z153" s="391"/>
    </row>
  </sheetData>
  <sheetProtection formatCells="0" formatColumns="0" formatRows="0" insertColumns="0" insertRows="0" insertHyperlinks="0" deleteColumns="0" deleteRows="0" sort="0" autoFilter="0" pivotTables="0"/>
  <mergeCells count="63">
    <mergeCell ref="B113:B114"/>
    <mergeCell ref="I122:I123"/>
    <mergeCell ref="J122:J123"/>
    <mergeCell ref="K122:K123"/>
    <mergeCell ref="A142:B142"/>
    <mergeCell ref="A122:A123"/>
    <mergeCell ref="B122:B123"/>
    <mergeCell ref="G122:G123"/>
    <mergeCell ref="H122:H123"/>
    <mergeCell ref="A125:A127"/>
    <mergeCell ref="A131:B131"/>
    <mergeCell ref="A134:F137"/>
    <mergeCell ref="R97:R100"/>
    <mergeCell ref="N97:N100"/>
    <mergeCell ref="P97:P100"/>
    <mergeCell ref="Q97:Q100"/>
    <mergeCell ref="Q122:Q123"/>
    <mergeCell ref="N109:N112"/>
    <mergeCell ref="P109:P110"/>
    <mergeCell ref="N113:N116"/>
    <mergeCell ref="P113:P119"/>
    <mergeCell ref="N122:N123"/>
    <mergeCell ref="P122:P123"/>
    <mergeCell ref="N78:N82"/>
    <mergeCell ref="P78:P82"/>
    <mergeCell ref="N86:N87"/>
    <mergeCell ref="P86:P87"/>
    <mergeCell ref="Q86:Q87"/>
    <mergeCell ref="N88:N91"/>
    <mergeCell ref="P88:P91"/>
    <mergeCell ref="Q88:Q91"/>
    <mergeCell ref="P92:P95"/>
    <mergeCell ref="Q92:Q95"/>
    <mergeCell ref="N76:N77"/>
    <mergeCell ref="P76:P77"/>
    <mergeCell ref="Q76:Q77"/>
    <mergeCell ref="G54:G55"/>
    <mergeCell ref="H54:H55"/>
    <mergeCell ref="I54:I55"/>
    <mergeCell ref="J54:J55"/>
    <mergeCell ref="K54:K55"/>
    <mergeCell ref="N54:N55"/>
    <mergeCell ref="N57:N65"/>
    <mergeCell ref="N70:N73"/>
    <mergeCell ref="N74:N75"/>
    <mergeCell ref="Q74:Q75"/>
    <mergeCell ref="P74:P75"/>
    <mergeCell ref="N7:N14"/>
    <mergeCell ref="P7:P8"/>
    <mergeCell ref="P12:P14"/>
    <mergeCell ref="N18:N39"/>
    <mergeCell ref="N47:N50"/>
    <mergeCell ref="P47:P50"/>
    <mergeCell ref="A54:A55"/>
    <mergeCell ref="B54:B55"/>
    <mergeCell ref="A1:L1"/>
    <mergeCell ref="A2:L2"/>
    <mergeCell ref="A4:A5"/>
    <mergeCell ref="B4:B5"/>
    <mergeCell ref="C4:F4"/>
    <mergeCell ref="G4:J4"/>
    <mergeCell ref="K4:K5"/>
    <mergeCell ref="L4:L5"/>
  </mergeCells>
  <pageMargins left="0.15748031496062992" right="0.15748031496062992" top="0.43307086614173229" bottom="0.19685039370078741" header="0" footer="0"/>
  <pageSetup paperSize="9" scale="40" fitToHeight="0" orientation="landscape" r:id="rId1"/>
  <rowBreaks count="12" manualBreakCount="12">
    <brk id="18" max="12" man="1"/>
    <brk id="29" max="12" man="1"/>
    <brk id="46" max="12" man="1"/>
    <brk id="54" max="12" man="1"/>
    <brk id="63" max="12" man="1"/>
    <brk id="71" max="12" man="1"/>
    <brk id="77" max="12" man="1"/>
    <brk id="82" max="12" man="1"/>
    <brk id="92" max="12" man="1"/>
    <brk id="103" max="12" man="1"/>
    <brk id="112" max="12" man="1"/>
    <brk id="124" max="12" man="1"/>
  </rowBreaks>
  <colBreaks count="1" manualBreakCount="1">
    <brk id="12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Лист1</vt:lpstr>
      <vt:lpstr>Лист2</vt:lpstr>
      <vt:lpstr>Отчет за 12 месяцев (2)</vt:lpstr>
      <vt:lpstr>Отчет за 9 месяцев  2025</vt:lpstr>
      <vt:lpstr>Отчет!Заголовки_для_печати</vt:lpstr>
      <vt:lpstr>'Отчет за 12 месяцев (2)'!Заголовки_для_печати</vt:lpstr>
      <vt:lpstr>'Отчет за 9 месяцев  2025'!Заголовки_для_печати</vt:lpstr>
      <vt:lpstr>Отчет!Область_печати</vt:lpstr>
      <vt:lpstr>'Отчет за 12 месяцев (2)'!Область_печати</vt:lpstr>
      <vt:lpstr>'Отчет за 9 месяцев 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2025-11-06T04:54:52Z</dcterms:modified>
</cp:coreProperties>
</file>