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1925" yWindow="-210" windowWidth="16485" windowHeight="12300"/>
  </bookViews>
  <sheets>
    <sheet name="Отчет" sheetId="14" r:id="rId1"/>
  </sheets>
  <definedNames>
    <definedName name="_xlnm.Print_Titles" localSheetId="0">Отчет!$4:$6</definedName>
    <definedName name="_xlnm.Print_Area" localSheetId="0">Отчет!$A$1:$L$150</definedName>
  </definedNames>
  <calcPr calcId="124519"/>
</workbook>
</file>

<file path=xl/calcChain.xml><?xml version="1.0" encoding="utf-8"?>
<calcChain xmlns="http://schemas.openxmlformats.org/spreadsheetml/2006/main">
  <c r="G136" i="14"/>
  <c r="J135"/>
  <c r="G135"/>
  <c r="Q128"/>
  <c r="Q74"/>
  <c r="Q75"/>
  <c r="Q65"/>
  <c r="R63" s="1"/>
  <c r="Q77"/>
  <c r="Q76"/>
  <c r="R75"/>
  <c r="Q73"/>
  <c r="Q72"/>
  <c r="Q71"/>
  <c r="Q57"/>
  <c r="Q60"/>
  <c r="Q61"/>
  <c r="Q68"/>
  <c r="Q66"/>
  <c r="Q64"/>
  <c r="Q63"/>
  <c r="Q62"/>
  <c r="Q58"/>
  <c r="R57" l="1"/>
  <c r="Q48"/>
  <c r="Q53"/>
  <c r="Q52"/>
  <c r="Q50" l="1"/>
  <c r="Q49"/>
  <c r="Q51"/>
  <c r="Q14"/>
  <c r="Q38"/>
  <c r="Q37"/>
  <c r="U25"/>
  <c r="Q29"/>
  <c r="Q26"/>
  <c r="Q27" l="1"/>
  <c r="Q25"/>
  <c r="Q39"/>
  <c r="S39"/>
  <c r="R39"/>
  <c r="Q136" l="1"/>
  <c r="Q131"/>
  <c r="Q44"/>
  <c r="Q42"/>
  <c r="Q41" l="1"/>
  <c r="R36" l="1"/>
  <c r="Q36"/>
  <c r="Q32"/>
  <c r="Q35"/>
  <c r="Q34"/>
  <c r="Q33"/>
  <c r="Q28"/>
  <c r="Q30"/>
  <c r="Q24"/>
  <c r="Q22"/>
  <c r="Q19"/>
  <c r="Q18"/>
  <c r="Q15"/>
  <c r="Q12"/>
  <c r="Q102" l="1"/>
  <c r="J100"/>
  <c r="Q116"/>
  <c r="Q115"/>
  <c r="Q113"/>
  <c r="Q108"/>
  <c r="Q85"/>
  <c r="Q88"/>
  <c r="Q87"/>
  <c r="Q86"/>
  <c r="Q80"/>
  <c r="Q79"/>
  <c r="Q92" l="1"/>
  <c r="Q91"/>
  <c r="Q90"/>
  <c r="C90" l="1"/>
  <c r="Q123" l="1"/>
  <c r="Q122" l="1"/>
  <c r="Q121"/>
  <c r="Q120"/>
  <c r="Q106"/>
  <c r="Q105"/>
  <c r="Q104"/>
  <c r="J128" l="1"/>
  <c r="G127"/>
  <c r="D127"/>
  <c r="H89"/>
  <c r="C79"/>
  <c r="H57"/>
  <c r="J57" s="1"/>
  <c r="Q9"/>
  <c r="S9"/>
  <c r="Q8"/>
  <c r="Q7"/>
  <c r="C7"/>
  <c r="Q97"/>
  <c r="Q94"/>
  <c r="J140" l="1"/>
  <c r="I140"/>
  <c r="H140"/>
  <c r="G140"/>
  <c r="F140"/>
  <c r="E140"/>
  <c r="D140"/>
  <c r="C140"/>
  <c r="J137"/>
  <c r="F137"/>
  <c r="P136"/>
  <c r="J136"/>
  <c r="F136"/>
  <c r="D135"/>
  <c r="F135" s="1"/>
  <c r="J131"/>
  <c r="F131"/>
  <c r="I130"/>
  <c r="H130"/>
  <c r="G130"/>
  <c r="E130"/>
  <c r="C130"/>
  <c r="P128"/>
  <c r="F128"/>
  <c r="J127"/>
  <c r="F127"/>
  <c r="J120"/>
  <c r="F120"/>
  <c r="J119"/>
  <c r="C119"/>
  <c r="F119" s="1"/>
  <c r="J108"/>
  <c r="K108" s="1"/>
  <c r="F108"/>
  <c r="I107"/>
  <c r="H107"/>
  <c r="G107"/>
  <c r="E107"/>
  <c r="D107"/>
  <c r="J104"/>
  <c r="K104" s="1"/>
  <c r="F104"/>
  <c r="J103"/>
  <c r="F103"/>
  <c r="J102"/>
  <c r="F102"/>
  <c r="J101"/>
  <c r="K101" s="1"/>
  <c r="F101"/>
  <c r="F100"/>
  <c r="I99"/>
  <c r="H99"/>
  <c r="G99"/>
  <c r="E99"/>
  <c r="D99"/>
  <c r="C99"/>
  <c r="J98"/>
  <c r="F98"/>
  <c r="J94"/>
  <c r="K94" s="1"/>
  <c r="F94"/>
  <c r="J92"/>
  <c r="C92"/>
  <c r="F92" s="1"/>
  <c r="J91"/>
  <c r="F91"/>
  <c r="J90"/>
  <c r="F90"/>
  <c r="K90" s="1"/>
  <c r="I89"/>
  <c r="G89"/>
  <c r="E89"/>
  <c r="D89"/>
  <c r="J79"/>
  <c r="F79"/>
  <c r="D79"/>
  <c r="J76"/>
  <c r="F76"/>
  <c r="J75"/>
  <c r="F75"/>
  <c r="K75" s="1"/>
  <c r="J71"/>
  <c r="K71" s="1"/>
  <c r="F71"/>
  <c r="F57"/>
  <c r="K57" s="1"/>
  <c r="J48"/>
  <c r="K48" s="1"/>
  <c r="F48"/>
  <c r="I47"/>
  <c r="H47"/>
  <c r="G47"/>
  <c r="E47"/>
  <c r="D47"/>
  <c r="C47"/>
  <c r="J46"/>
  <c r="K46" s="1"/>
  <c r="F46"/>
  <c r="J44"/>
  <c r="F44"/>
  <c r="J39"/>
  <c r="K39" s="1"/>
  <c r="F39"/>
  <c r="P26"/>
  <c r="P25"/>
  <c r="P22"/>
  <c r="P18"/>
  <c r="P15"/>
  <c r="J12"/>
  <c r="E12"/>
  <c r="F12" s="1"/>
  <c r="F11" s="1"/>
  <c r="D12"/>
  <c r="D11" s="1"/>
  <c r="I11"/>
  <c r="H11"/>
  <c r="G11"/>
  <c r="C11"/>
  <c r="J10"/>
  <c r="F10"/>
  <c r="K7"/>
  <c r="J7"/>
  <c r="F7"/>
  <c r="K102" l="1"/>
  <c r="K44"/>
  <c r="F107"/>
  <c r="K137"/>
  <c r="I138"/>
  <c r="F130"/>
  <c r="K98"/>
  <c r="J99"/>
  <c r="K99" s="1"/>
  <c r="K120"/>
  <c r="K131"/>
  <c r="K10"/>
  <c r="K76"/>
  <c r="F99"/>
  <c r="J107"/>
  <c r="K107" s="1"/>
  <c r="E138"/>
  <c r="E141" s="1"/>
  <c r="K119"/>
  <c r="J47"/>
  <c r="K92"/>
  <c r="K100"/>
  <c r="E11"/>
  <c r="K79"/>
  <c r="H138"/>
  <c r="H141" s="1"/>
  <c r="K103"/>
  <c r="C107"/>
  <c r="G138"/>
  <c r="G141" s="1"/>
  <c r="K128"/>
  <c r="J11"/>
  <c r="K11" s="1"/>
  <c r="F47"/>
  <c r="J89"/>
  <c r="K91"/>
  <c r="K127"/>
  <c r="K136"/>
  <c r="I141"/>
  <c r="F89"/>
  <c r="K12"/>
  <c r="J130"/>
  <c r="C89"/>
  <c r="D130"/>
  <c r="D138" s="1"/>
  <c r="C138" l="1"/>
  <c r="C141" s="1"/>
  <c r="D141"/>
  <c r="K130"/>
  <c r="K89"/>
  <c r="K47"/>
  <c r="F138"/>
  <c r="F141" s="1"/>
  <c r="J138"/>
  <c r="K138" l="1"/>
  <c r="J141"/>
</calcChain>
</file>

<file path=xl/comments1.xml><?xml version="1.0" encoding="utf-8"?>
<comments xmlns="http://schemas.openxmlformats.org/spreadsheetml/2006/main">
  <authors>
    <author>Автор</author>
  </authors>
  <commentList>
    <comment ref="F11" authorId="0">
      <text>
        <r>
          <rPr>
            <b/>
            <sz val="24"/>
            <color indexed="81"/>
            <rFont val="Tahoma"/>
            <family val="2"/>
            <charset val="204"/>
          </rPr>
          <t>Автор:
-0,02</t>
        </r>
      </text>
    </comment>
    <comment ref="H57" authorId="0">
      <text>
        <r>
          <rPr>
            <b/>
            <sz val="24"/>
            <color indexed="81"/>
            <rFont val="Tahoma"/>
            <family val="2"/>
            <charset val="204"/>
          </rPr>
          <t>Автор:
+0,01</t>
        </r>
      </text>
    </comment>
    <comment ref="C79" authorId="0">
      <text>
        <r>
          <rPr>
            <b/>
            <sz val="24"/>
            <color indexed="81"/>
            <rFont val="Tahoma"/>
            <family val="2"/>
            <charset val="204"/>
          </rPr>
          <t>Автор:
-0,01</t>
        </r>
      </text>
    </comment>
    <comment ref="H89" authorId="0">
      <text>
        <r>
          <rPr>
            <b/>
            <sz val="24"/>
            <color indexed="81"/>
            <rFont val="Tahoma"/>
            <family val="2"/>
            <charset val="204"/>
          </rPr>
          <t>Автор:
-0,02</t>
        </r>
      </text>
    </comment>
    <comment ref="D127" authorId="0">
      <text>
        <r>
          <rPr>
            <b/>
            <sz val="24"/>
            <color indexed="81"/>
            <rFont val="Tahoma"/>
            <family val="2"/>
            <charset val="204"/>
          </rPr>
          <t>Автор:
-0,01</t>
        </r>
      </text>
    </comment>
    <comment ref="G127" authorId="0">
      <text>
        <r>
          <rPr>
            <b/>
            <sz val="24"/>
            <color indexed="81"/>
            <rFont val="Tahoma"/>
            <family val="2"/>
            <charset val="204"/>
          </rPr>
          <t>Автор:
+0,01</t>
        </r>
      </text>
    </comment>
    <comment ref="J128" authorId="0">
      <text>
        <r>
          <rPr>
            <b/>
            <sz val="24"/>
            <color indexed="81"/>
            <rFont val="Tahoma"/>
            <family val="2"/>
            <charset val="204"/>
          </rPr>
          <t>Автор:
-0,01</t>
        </r>
      </text>
    </comment>
    <comment ref="C131" authorId="0">
      <text>
        <r>
          <rPr>
            <b/>
            <sz val="20"/>
            <color indexed="81"/>
            <rFont val="Tahoma"/>
            <family val="2"/>
            <charset val="204"/>
          </rPr>
          <t>Автор:
+0,02</t>
        </r>
      </text>
    </comment>
    <comment ref="G135" authorId="0">
      <text>
        <r>
          <rPr>
            <b/>
            <sz val="22"/>
            <color indexed="81"/>
            <rFont val="Tahoma"/>
            <family val="2"/>
            <charset val="204"/>
          </rPr>
          <t>Автор:
+0,01</t>
        </r>
      </text>
    </comment>
    <comment ref="G136" authorId="0">
      <text>
        <r>
          <rPr>
            <b/>
            <sz val="22"/>
            <color indexed="81"/>
            <rFont val="Tahoma"/>
            <family val="2"/>
            <charset val="204"/>
          </rPr>
          <t>Автор:
-0,01</t>
        </r>
      </text>
    </comment>
    <comment ref="D138" authorId="0">
      <text>
        <r>
          <rPr>
            <b/>
            <sz val="24"/>
            <color indexed="81"/>
            <rFont val="Tahoma"/>
            <family val="2"/>
            <charset val="204"/>
          </rPr>
          <t>Автор:
-0,01</t>
        </r>
      </text>
    </comment>
  </commentList>
</comments>
</file>

<file path=xl/sharedStrings.xml><?xml version="1.0" encoding="utf-8"?>
<sst xmlns="http://schemas.openxmlformats.org/spreadsheetml/2006/main" count="215" uniqueCount="210">
  <si>
    <t>Кассовые расходы с начала года</t>
  </si>
  <si>
    <t>Подпрограмма «Развитие системы дополнительного образования детей, выявление и поддержки одаренных детей и молодежи»</t>
  </si>
  <si>
    <t>Подпрограмма «Наследие Усть-Абаканского района»</t>
  </si>
  <si>
    <t>Подпрограмма «Развитие культурного потенциала Усть-Абаканского района»</t>
  </si>
  <si>
    <t>Подпрограмма «Искусство Усть-Абаканского района»</t>
  </si>
  <si>
    <t>Подпрограмма «Обеспечение реализации муниципальной программы»</t>
  </si>
  <si>
    <t>Подпрограмма «Молодежь Усть-Абаканского района»</t>
  </si>
  <si>
    <t>Подпрограмма «Социальная поддержка детей-сирот и детей, оставшихся без попечения родителей»</t>
  </si>
  <si>
    <t>Подпрограмма «Организация отдыха и оздоровления детей в Усть-Абаканском районе»</t>
  </si>
  <si>
    <t>Подпрограмма «Профилактика правонарушений, обеспечение безопасности и общественного порядка»</t>
  </si>
  <si>
    <t>Подпрограмма «Профилактика безнадзорности и правонарушений несовершеннолетних»</t>
  </si>
  <si>
    <t>Подпрограмма «Профилактика террористической и экстремистской деятельности»</t>
  </si>
  <si>
    <t xml:space="preserve">Подпрограмма «Дорожное хозяйство» </t>
  </si>
  <si>
    <t>Подпрограмма «Транспортное обслуживание населения»</t>
  </si>
  <si>
    <t>Подпрограмма «Модернизация объектов коммунальной инфраструктуры»</t>
  </si>
  <si>
    <t>Подпрограмма «Чистая вода»</t>
  </si>
  <si>
    <t>тыс.руб.</t>
  </si>
  <si>
    <t>№ п/п</t>
  </si>
  <si>
    <t>Муниципальная программа</t>
  </si>
  <si>
    <t xml:space="preserve">План на год </t>
  </si>
  <si>
    <t>Информация о выполненных мероприятиях</t>
  </si>
  <si>
    <t>МБ</t>
  </si>
  <si>
    <t>РХ</t>
  </si>
  <si>
    <t>РФ</t>
  </si>
  <si>
    <t>Всего</t>
  </si>
  <si>
    <t>1.</t>
  </si>
  <si>
    <t>2.</t>
  </si>
  <si>
    <t>3.</t>
  </si>
  <si>
    <t>4.</t>
  </si>
  <si>
    <t>5.</t>
  </si>
  <si>
    <t>Муниципальная программа «Повышение эффективности и управления муниципальными финансами Усть-Абаканского района»</t>
  </si>
  <si>
    <t>6.</t>
  </si>
  <si>
    <t>7.</t>
  </si>
  <si>
    <t>7.1.</t>
  </si>
  <si>
    <t>Подпрограмма «Развитие дошкольного, начального, общего, основного общего, среднего образования»</t>
  </si>
  <si>
    <t>7.2.</t>
  </si>
  <si>
    <t>7.3.</t>
  </si>
  <si>
    <t>Подпрограмма «Патриотическое воспитание»</t>
  </si>
  <si>
    <t>8.</t>
  </si>
  <si>
    <t>Подпрограмма «Обеспечение реализации муниципальной  программы»</t>
  </si>
  <si>
    <t>9.</t>
  </si>
  <si>
    <t>10.</t>
  </si>
  <si>
    <t>11.</t>
  </si>
  <si>
    <t>12.</t>
  </si>
  <si>
    <t>12.1.</t>
  </si>
  <si>
    <t>12.2.</t>
  </si>
  <si>
    <t>Подпрограмма «Развитие мер социальной поддержки отдельных категорий граждан в Усть-Абаканском районе»</t>
  </si>
  <si>
    <t>13.</t>
  </si>
  <si>
    <t>14.</t>
  </si>
  <si>
    <t>Подпрограмма  «Повышение безопасности дорожного движения»</t>
  </si>
  <si>
    <t>15.</t>
  </si>
  <si>
    <t>16.</t>
  </si>
  <si>
    <t>16.1.</t>
  </si>
  <si>
    <t>16.2.</t>
  </si>
  <si>
    <t>17.</t>
  </si>
  <si>
    <t>ВСЕГО по муниципальным программам:</t>
  </si>
  <si>
    <t xml:space="preserve">Заместитель Главы администрации </t>
  </si>
  <si>
    <t>Усть-Абаканского района по финансам и экономике</t>
  </si>
  <si>
    <t>Н.А. Потылицына</t>
  </si>
  <si>
    <t>Исполнитель</t>
  </si>
  <si>
    <t>Сконина К.В. 2-18-52</t>
  </si>
  <si>
    <t>3.1.</t>
  </si>
  <si>
    <t>3.2.</t>
  </si>
  <si>
    <t>3.3.</t>
  </si>
  <si>
    <t>5.1.</t>
  </si>
  <si>
    <t>5.2.</t>
  </si>
  <si>
    <t>5.3.</t>
  </si>
  <si>
    <t>5.4.</t>
  </si>
  <si>
    <t>5.5.</t>
  </si>
  <si>
    <t>10.1.</t>
  </si>
  <si>
    <t>10.2.</t>
  </si>
  <si>
    <t>10.3.</t>
  </si>
  <si>
    <t>10.4.</t>
  </si>
  <si>
    <t>Главный специалист экономического отдела</t>
  </si>
  <si>
    <t>Управления финансов и экономики администрации Усть-Абаканского района</t>
  </si>
  <si>
    <t>Муниципальная программа «Развитие физической культуры и спорта в Усть-Абаканском районе»</t>
  </si>
  <si>
    <t>Муниципальная программа «Социальная поддержка граждан»</t>
  </si>
  <si>
    <t>Муниципальная программа «Противодействие незаконному обороту наркотиков, снижение масштабов наркотизации населения в Усть-Абаканском районе»</t>
  </si>
  <si>
    <t xml:space="preserve">Муниципальная программа «Обеспечение общественного порядка и противодействие преступности в Усть-Абаканском районе» </t>
  </si>
  <si>
    <t>Муниципальная программа «Развитие туризма в Усть-Абаканском районе»</t>
  </si>
  <si>
    <t>Муниципальная программа «Развитие транспортной системы Усть-Абаканского района»</t>
  </si>
  <si>
    <t xml:space="preserve">Муниципальная программа «Жилище» </t>
  </si>
  <si>
    <t xml:space="preserve">Муниципальная программа «Комплексная программа  модернизации и реформирования жилищно-коммунального хозяйства в Усть-Абаканском районе» </t>
  </si>
  <si>
    <t>Муниципальная программа «Развитие торговли в Усть-Абаканском районе»</t>
  </si>
  <si>
    <t>Муниципальная программа «Развитие муниципального имущества в Усть-Абаканском районе»</t>
  </si>
  <si>
    <t>Муниципальная программа «Культура Усть-Абаканского района»</t>
  </si>
  <si>
    <t>Муниципальная программа «Защита населения и территорий Усть-Абаканского района от чрезвычайных ситуаций, обеспечение пожарной безопасности и безопасности людей на водных объектах»</t>
  </si>
  <si>
    <t>Муниципальная программа «Развитие  образования  в  Усть-Абаканском районе»</t>
  </si>
  <si>
    <t>Муниципальная программа «Развитие субъектов малого и среднего предпринимательства в Усть-Абаканском районе»</t>
  </si>
  <si>
    <r>
      <t xml:space="preserve">Выполнено с начала года % </t>
    </r>
    <r>
      <rPr>
        <b/>
        <sz val="10"/>
        <color theme="1"/>
        <rFont val="Times New Roman"/>
        <family val="1"/>
        <charset val="204"/>
      </rPr>
      <t>(гр.10/гр.6х100)</t>
    </r>
  </si>
  <si>
    <t>Муниципальная программа «Улучшение условий и охраны труда в Усть-Абаканском районе»</t>
  </si>
  <si>
    <t xml:space="preserve"> </t>
  </si>
  <si>
    <r>
      <rPr>
        <b/>
        <sz val="14"/>
        <rFont val="Times New Roman"/>
        <family val="1"/>
        <charset val="204"/>
      </rPr>
      <t xml:space="preserve">4.Капитальный ремонт в муниципальных учреждениях, в том числе проектно-сметная документация -  </t>
    </r>
    <r>
      <rPr>
        <sz val="14"/>
        <rFont val="Times New Roman"/>
        <family val="1"/>
        <charset val="204"/>
      </rPr>
      <t xml:space="preserve">Капитальный ремонт системы водоснабжения (ДШИ)       </t>
    </r>
  </si>
  <si>
    <t xml:space="preserve">Муниципальная программа «Комплексное развитие сельских территорий Усть-Абаканского района» </t>
  </si>
  <si>
    <r>
      <t xml:space="preserve">4. Государственная поддержка отрасли культуры за счет средств резервного фонда Правительства Российской Федерации (в том числе софинансирование с республиканским бюджетом) </t>
    </r>
    <r>
      <rPr>
        <sz val="14"/>
        <rFont val="Times New Roman"/>
        <family val="1"/>
        <charset val="204"/>
      </rPr>
      <t>- 188,0, из них:</t>
    </r>
    <r>
      <rPr>
        <b/>
        <sz val="14"/>
        <rFont val="Times New Roman"/>
        <family val="1"/>
        <charset val="204"/>
      </rPr>
      <t xml:space="preserve"> 3,8 (МБ), 18,4 (РХ), 165,8 (РФ) </t>
    </r>
    <r>
      <rPr>
        <sz val="14"/>
        <rFont val="Times New Roman"/>
        <family val="1"/>
        <charset val="204"/>
      </rPr>
      <t>Комплектование книжных фондов</t>
    </r>
  </si>
  <si>
    <t xml:space="preserve">2. Экспертиза сметной стоимости - 204,7.           </t>
  </si>
  <si>
    <t>ОТЧЕТ</t>
  </si>
  <si>
    <t xml:space="preserve">2.Строительство, реконструкция объектов муниципальной собственности, в том числе разработка проектно-сметной документации </t>
  </si>
  <si>
    <r>
      <t>2.Строительство, реконструкция объектов муниципальной собственности, в том числе разработка проектно-сметной документации - 1,1</t>
    </r>
    <r>
      <rPr>
        <sz val="14"/>
        <rFont val="Times New Roman"/>
        <family val="1"/>
        <charset val="204"/>
      </rPr>
      <t>:                                                                                                                                                                                                                                               ^Земельный налог на участок д.Чапаево.</t>
    </r>
  </si>
  <si>
    <t xml:space="preserve">   </t>
  </si>
  <si>
    <r>
      <rPr>
        <b/>
        <sz val="14"/>
        <rFont val="Times New Roman"/>
        <family val="1"/>
        <charset val="204"/>
      </rPr>
      <t xml:space="preserve">Мероприятия в сфере поддержки малого и среднего предпринимательства - 35,2                                                                                                 </t>
    </r>
    <r>
      <rPr>
        <sz val="14"/>
        <rFont val="Times New Roman"/>
        <family val="1"/>
        <charset val="204"/>
      </rPr>
      <t xml:space="preserve">^Проведение районного конкурса «Предприниматель 2021 года».                                                              </t>
    </r>
  </si>
  <si>
    <r>
      <rPr>
        <b/>
        <sz val="14"/>
        <rFont val="Times New Roman"/>
        <family val="1"/>
        <charset val="204"/>
      </rPr>
      <t xml:space="preserve">3. Выполнение инженерно-геодезических изысканий </t>
    </r>
    <r>
      <rPr>
        <sz val="14"/>
        <rFont val="Times New Roman"/>
        <family val="1"/>
        <charset val="204"/>
      </rPr>
      <t xml:space="preserve">в целях подготовки проектной документации для ремонта автомобильной дороги с. Солнечное-д. Курганная Усть-Абаканского района Республики  Хакасия </t>
    </r>
    <r>
      <rPr>
        <b/>
        <sz val="14"/>
        <rFont val="Times New Roman"/>
        <family val="1"/>
        <charset val="204"/>
      </rPr>
      <t>- 600,0</t>
    </r>
    <r>
      <rPr>
        <sz val="14"/>
        <rFont val="Times New Roman"/>
        <family val="1"/>
        <charset val="204"/>
      </rPr>
      <t>.</t>
    </r>
  </si>
  <si>
    <t xml:space="preserve">4. Установка дорожных знаков - 46,9; </t>
  </si>
  <si>
    <t>5. Дорожная разметка - 148,4.</t>
  </si>
  <si>
    <r>
      <rPr>
        <b/>
        <sz val="14"/>
        <rFont val="Times New Roman"/>
        <family val="1"/>
        <charset val="204"/>
      </rPr>
      <t xml:space="preserve">7.Реализация мероприятий по развитию общеобразовательных организаций - </t>
    </r>
    <r>
      <rPr>
        <sz val="14"/>
        <rFont val="Times New Roman"/>
        <family val="1"/>
        <charset val="204"/>
      </rPr>
      <t>3061,2, из них</t>
    </r>
    <r>
      <rPr>
        <b/>
        <sz val="14"/>
        <rFont val="Times New Roman"/>
        <family val="1"/>
        <charset val="204"/>
      </rPr>
      <t xml:space="preserve">:  3000,0(РХ), 61,2(МБ)                                                                                         </t>
    </r>
    <r>
      <rPr>
        <sz val="14"/>
        <rFont val="Times New Roman"/>
        <family val="1"/>
        <charset val="204"/>
      </rPr>
      <t xml:space="preserve">                                                                           ^Приобретение учебной мебели (Росток-102,0, Райковская СОШ-591,84, У-Абаканская СОШ-591,84, Расцветская СОШ-295,92, Московская СОШ-591,84, В-Биджинская СОШ-591,84, Опытненская СОШ-295,92)       </t>
    </r>
  </si>
  <si>
    <r>
      <t xml:space="preserve">2. Капитальный ремонт в муниципальных учреждениях, в том числе проектно-сметная документация - 2036,7 </t>
    </r>
    <r>
      <rPr>
        <sz val="14"/>
        <rFont val="Times New Roman"/>
        <family val="1"/>
        <charset val="204"/>
      </rPr>
      <t>Капитальный ремонт системы отопления спортзала МБУДО «Усть-Абаканская СШ».</t>
    </r>
  </si>
  <si>
    <r>
      <t xml:space="preserve">3. Создание условий для занятий физической культурой и спортом - 144,0 </t>
    </r>
    <r>
      <rPr>
        <sz val="14"/>
        <rFont val="Times New Roman"/>
        <family val="1"/>
        <charset val="204"/>
      </rPr>
      <t>Прокат ледового катка для занятий по хоккею с мячом.</t>
    </r>
  </si>
  <si>
    <r>
      <t xml:space="preserve">4.Укрепление материально-технической базы - 675,2, </t>
    </r>
    <r>
      <rPr>
        <sz val="14"/>
        <rFont val="Times New Roman"/>
        <family val="1"/>
        <charset val="204"/>
      </rPr>
      <t xml:space="preserve">в том числе:                                                                                                                  1. Будо-маты - 331,2;                                                                                                                                                                                                      2. Мебель (столы) - 19,0;                                                                                                                                                                                                             3. Спортинвентарь (мячи, утяжелители, шлемы, перчатки, тренажеры, медецинболы) - 325,0.  </t>
    </r>
  </si>
  <si>
    <r>
      <t>5. Оказание адресной финансовой поддержки спортивным организациям, осуществляющим подготовку спортивного резерва -</t>
    </r>
    <r>
      <rPr>
        <sz val="14"/>
        <rFont val="Times New Roman"/>
        <family val="1"/>
        <charset val="204"/>
      </rPr>
      <t xml:space="preserve"> 306,1, из них:</t>
    </r>
    <r>
      <rPr>
        <b/>
        <sz val="14"/>
        <rFont val="Times New Roman"/>
        <family val="1"/>
        <charset val="204"/>
      </rPr>
      <t xml:space="preserve"> 6,1 (МБ), 300,0 (РХ),</t>
    </r>
    <r>
      <rPr>
        <sz val="14"/>
        <rFont val="Times New Roman"/>
        <family val="1"/>
        <charset val="204"/>
      </rPr>
      <t xml:space="preserve"> в том числе:                                                                                                                  1. Приобретение спортивного инвентаря - 259,5(РХ), 6,1(МБ);                                                                                                                                      2. Приобретение спортивной экипировки - 40,5.</t>
    </r>
  </si>
  <si>
    <r>
      <rPr>
        <b/>
        <sz val="14"/>
        <rFont val="Times New Roman"/>
        <family val="1"/>
        <charset val="204"/>
      </rPr>
      <t>3. Организация, координация туристической деятельности и продвижения туристического продукта - 29,5</t>
    </r>
    <r>
      <rPr>
        <sz val="14"/>
        <rFont val="Times New Roman"/>
        <family val="1"/>
        <charset val="204"/>
      </rPr>
      <t xml:space="preserve">, из них:                                                                                                                                                                                                                                1. «День открытых дверей» в рамках прразднования всемирного дня музев в МАУК «музей «Салбык»-29,5 (Услуги шамана-13,2, проведение обряда кормления огня-3,0, дегустация напитка «Хан-чай»-2,8, мастер-класс изготовления талгана - 9,8, средства гигиены - 0,7).                                                                                                                                                                                                                                     </t>
    </r>
  </si>
  <si>
    <t>^Осуществление государственного полномочия по определению перечня должностных лиц, уполномоченных составлять протоколы об административных правонарушениях - 15,0 (РХ)</t>
  </si>
  <si>
    <r>
      <t xml:space="preserve">5. Повышение эффективности деятельности органов местного самоуправления - </t>
    </r>
    <r>
      <rPr>
        <sz val="14"/>
        <rFont val="Times New Roman"/>
        <family val="1"/>
        <charset val="204"/>
      </rPr>
      <t xml:space="preserve">56,9, из них </t>
    </r>
    <r>
      <rPr>
        <b/>
        <sz val="14"/>
        <rFont val="Times New Roman"/>
        <family val="1"/>
        <charset val="204"/>
      </rPr>
      <t xml:space="preserve">55,7 (РХ), 1,2 (МБ) </t>
    </r>
    <r>
      <rPr>
        <sz val="14"/>
        <rFont val="Times New Roman"/>
        <family val="1"/>
        <charset val="204"/>
      </rPr>
      <t>Повышение квалификации и переподготовка муниципальных служащих Усть-Абаканского района. Обучение прошли 20 человек, в том числе: администрация - 11чел. (33,0), УЖКХ - 2чел. (6,5), УФиЭ - 1 чел. (2,5), УИО - 4чел. (10,0), УЗ - 2чел. (4,9).</t>
    </r>
  </si>
  <si>
    <t xml:space="preserve">19. Приобретение сувениров для участников автопробега - 12,0;                                                                                                                       20. Конкурс на лучшую эмблему (логотип) Усть-Абаканского музея - 1,0;                                                                                                                   21. Ночь музеев - 1,98;                                                                                                                                                                                      22. Салют, посвященный Дню Победы в ВОВ-400,0;                                                                                                                                                                               23. Мастер-класс по изготовлению мыльных пузырей, - 0,55;                                                                                                                                                              24. Мероприятия, посвященные Дню России - 4,8;                                                                                                                                                                               25. Конкурс рисунков и акция , приуроченные ко Дню защиты детей 1 июня 2022 г. - 5,85;                                                                                                                26. Мастер-класс по изготовлению поделки «Солнышко в интерьере» - 0,6;                                                                                                                             27. Оформление фотовыставки, посвященной истории районной больницы - 5,6;                                                                                                                                          28. Проведение митинга, посвященного Дню памяти и скорби с возложением цветов к Могиле Неизвестного солдата - 20,0;                                                                                                                                                                                                 29. Приобретение стендов - 7,2;                                                                                                                                                                             30. Оформление фотовыставок, посвященных юбилею Пожарной охраны - 10,4;                                                                                                                     30. Проведение мероприятий, посвященных победе в ВОВ - 373,0;                                                                                                                              31. Подключение «Вечного огня» для проведения праздничных мероприятий - 5,1;                                                                                                                                          32. Приобретение одноразовой посуды для проведения акции «Полевая кухня» - 6,6;                                                                                                    33. Приобретение подаркам ветеранам и труженникам тыла - 7,6;                                                                                                                                        34. Районный конкурс среди детей и подростков «Наша Победа» - 4,4;                                                                                                                                 35. Квест «Наша Победа» - 7,4;                                                                                                                                                                                 36. Остаток на счете - 46,32.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</si>
  <si>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4.Капитальный ремонт в муниципальных учреждениях, в том числе проектно-сметная документация - 44,8, </t>
    </r>
    <r>
      <rPr>
        <sz val="14"/>
        <rFont val="Times New Roman"/>
        <family val="1"/>
        <charset val="204"/>
      </rPr>
      <t xml:space="preserve">из них:                                                                                                                                                                                                                             1. Проверка ПСД на кап.ремонт.здания музея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  </t>
    </r>
  </si>
  <si>
    <r>
      <rPr>
        <b/>
        <sz val="14"/>
        <rFont val="Times New Roman"/>
        <family val="1"/>
        <charset val="204"/>
      </rPr>
      <t xml:space="preserve">Мероприятия по профилактике терроризма и экстремизма - 3,0 </t>
    </r>
    <r>
      <rPr>
        <sz val="14"/>
        <rFont val="Times New Roman"/>
        <family val="1"/>
        <charset val="204"/>
      </rPr>
      <t>Изготовление  памяток с тематикой  по профилактике террористической и экстремистской деятельности</t>
    </r>
  </si>
  <si>
    <t xml:space="preserve">17. Турнир по футболу среди школьных команд, посвященный памяти Героя Советского Союза Доможакова М.Е. - 7,5;                                                                                                                                                                                                                                                                                                                          18. Спартакиада среди лиц с ограниченными возможностями здоровья - 8,9;                                                                                                 19. Открытый турнир по греко-римской борьбе памяти Н.Н.Доможакова - 8,4;                                                                                                                     20. Турнир по мини футболу, посвященному памяти Е.В.Шихову - 10,1;                                                                                                                                   21. Изготовление баннера и проведение мероприятий, приуроченных к празднованию 77-летия со дня Победы в ВОВ - 8,5;                                                                                                                                                                                                                    22. Изготовление баннера ГТО - 4,0;                                                                                                                                                                                            23. Открытый турнир Усть-Абаканской СШ по настольному теннису, посвященный празднованию Победы в ВОВ среди юношей и девушек 2006 г.р. и младше - 2,2;                                                                                                                                                                        24. Открытое первенство МБУДО Усть-Абаканская СШ по футболу среди юношей и девушек, посвященное празднованию Победы в ВОВ - 2,4;                                                                                                                                                                              25. Проведение спортивных мероприятий, обеспечение подготовки команд - 19,9;                                                                                                                           26. Шахматный турнир в честь Дня Победы (мужчины, женщины) - 5,0;                                                                                                                              27. Кубок победы по баскетболу (мужчины) - 7,0;                                                                                                                                                                                  28. Кубок победы по футболу - 7,0;                                                                                                                                                                                                    29. Кубок Победы по волейболу - 7,0;                                                                                                                                                                           30. Первенство Усть-Абаканского района по футболу - 7,0;                                                                                                                                                                                                                                                             31. Районные соревнования по пулевой стрельбе в честь Дня Победы среди лиц с ограниченными возможностями здоровья - 7,0;                                                                                                                                                                                             </t>
  </si>
  <si>
    <r>
      <t xml:space="preserve">2. Реализация инфраструктурных проектов Республики Хакасия:                                                                                           2.1. Строительство и реконструкция объектов муниципальной собственности, в том числе разработка проектно-сметной документации: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rFont val="Times New Roman"/>
        <family val="1"/>
        <charset val="204"/>
      </rPr>
      <t xml:space="preserve">Строительство ЦТП 3 Гкал/час, тепловых сетей 1,4 км в п.Расцвет, строительство ЦТП 0,6 Гкал/час , тепловой сети 1,65 км в п. Тепличный, строительство элеваторных узлов 30 шт и тепловой сети 1,65 км с.Зеленое (Выполнение работ планируется после окончания отопительного периода).                                                         </t>
    </r>
  </si>
  <si>
    <t xml:space="preserve"> о реализации муниципальных программ, действующих на территории Усть-Абаканского района Республики Хакасия за 9 месяцев 2022 года.</t>
  </si>
  <si>
    <r>
      <rPr>
        <b/>
        <sz val="14"/>
        <rFont val="Times New Roman"/>
        <family val="1"/>
        <charset val="204"/>
      </rPr>
      <t>1.Обеспечение деятельности подведомственных учреждений ("Единая дежурная диспетчерская служба") -</t>
    </r>
    <r>
      <rPr>
        <b/>
        <sz val="14"/>
        <color rgb="FFFF0000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 xml:space="preserve">3507,6.                                                                                                         </t>
    </r>
    <r>
      <rPr>
        <sz val="14"/>
        <rFont val="Times New Roman"/>
        <family val="1"/>
        <charset val="204"/>
      </rPr>
      <t xml:space="preserve">                                                                   </t>
    </r>
    <r>
      <rPr>
        <b/>
        <sz val="14"/>
        <rFont val="Times New Roman"/>
        <family val="1"/>
        <charset val="204"/>
      </rPr>
      <t xml:space="preserve">2.Мероприятия по защите населения от чрезвычайных ситуаций, пожарной безопасности и безопасности на водных объектах - 31,4, </t>
    </r>
    <r>
      <rPr>
        <sz val="14"/>
        <rFont val="Times New Roman"/>
        <family val="1"/>
        <charset val="204"/>
      </rPr>
      <t xml:space="preserve">в том числе:                                                                                                                   ^Изготовление баннера по пожарной безопасности - 3,0;                                                                                                                         ^Изготовление памяток по пяти видам рисков ЧС - 18,4;                                                                                                                     ^Ремонт оборудования для ВКС - 10,0.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3.Материально-техническое обеспечение единых дежурно-диспетчерских служб муниципальных образований - </t>
    </r>
    <r>
      <rPr>
        <sz val="14"/>
        <rFont val="Times New Roman"/>
        <family val="1"/>
        <charset val="204"/>
      </rPr>
      <t xml:space="preserve">333,4, из них: </t>
    </r>
    <r>
      <rPr>
        <b/>
        <sz val="14"/>
        <rFont val="Times New Roman"/>
        <family val="1"/>
        <charset val="204"/>
      </rPr>
      <t>6,7 (МБ), 326,7 (РХ)</t>
    </r>
    <r>
      <rPr>
        <sz val="14"/>
        <rFont val="Times New Roman"/>
        <family val="1"/>
        <charset val="204"/>
      </rPr>
      <t xml:space="preserve">, в том числе:                                                                                      ^Прибретение 7 систем оповеществования - 160,8;                                                                                                                              ^Приобретение офисной мебели - 44,8;                                                                                                                                              ^Приобретение оргтехники (компьютер, МФУ) - 127,8.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 4.Иные межбюджетные трансферты на мероприятия по защите населения от чрезвычайных ситуаций, пожарной безопасности и безопасности на водных объектах - 234,8 </t>
    </r>
    <r>
      <rPr>
        <sz val="14"/>
        <rFont val="Times New Roman"/>
        <family val="1"/>
        <charset val="204"/>
      </rPr>
      <t xml:space="preserve">Проведение опашки населенных пунктов; Приобретение пожарного инвентаря, автономных пожарных извещателей.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   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
</t>
    </r>
    <r>
      <rPr>
        <b/>
        <sz val="12"/>
        <rFont val="Times New Roman"/>
        <family val="1"/>
        <charset val="204"/>
      </rPr>
      <t/>
    </r>
  </si>
  <si>
    <r>
      <rPr>
        <b/>
        <sz val="14"/>
        <color theme="1"/>
        <rFont val="Times New Roman"/>
        <family val="1"/>
        <charset val="204"/>
      </rPr>
      <t>1.Обеспечение деятельности УИО - 11804,4</t>
    </r>
    <r>
      <rPr>
        <sz val="14"/>
        <color theme="1"/>
        <rFont val="Times New Roman"/>
        <family val="1"/>
        <charset val="204"/>
      </rPr>
      <t xml:space="preserve">, в том числе: заработная плата - 7463,6; начисления на выплаты по оплате труда - 2042,0; командировочные расходы - 132,1; услуги связи - 245,5; транспортные услуги - 160,7; работы, услуги по содержанию имущества - 514,1; прочие работы, услуги - </t>
    </r>
    <r>
      <rPr>
        <sz val="14"/>
        <rFont val="Times New Roman"/>
        <family val="1"/>
        <charset val="204"/>
      </rPr>
      <t>426,0</t>
    </r>
    <r>
      <rPr>
        <sz val="14"/>
        <color theme="1"/>
        <rFont val="Times New Roman"/>
        <family val="1"/>
        <charset val="204"/>
      </rPr>
      <t xml:space="preserve">; приобретение основных средств - 437,6; приобретение ГСМ - 248,4; приобретение материальных запасов - </t>
    </r>
    <r>
      <rPr>
        <sz val="14"/>
        <rFont val="Times New Roman"/>
        <family val="1"/>
        <charset val="204"/>
      </rPr>
      <t>132,6; транспортный налог - 1,8.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</t>
    </r>
    <r>
      <rPr>
        <sz val="14"/>
        <rFont val="Times New Roman"/>
        <family val="1"/>
        <charset val="204"/>
      </rPr>
      <t xml:space="preserve">                                     </t>
    </r>
    <r>
      <rPr>
        <b/>
        <sz val="12"/>
        <rFont val="Times New Roman"/>
        <family val="1"/>
        <charset val="204"/>
      </rPr>
      <t/>
    </r>
  </si>
  <si>
    <r>
      <rPr>
        <b/>
        <sz val="14"/>
        <color theme="1"/>
        <rFont val="Times New Roman"/>
        <family val="1"/>
        <charset val="204"/>
      </rPr>
      <t>2.Оценка недвижимости, признание прав и регулирование отношений по государственной и муниципальной собственности - 299,4</t>
    </r>
    <r>
      <rPr>
        <sz val="14"/>
        <color theme="1"/>
        <rFont val="Times New Roman"/>
        <family val="1"/>
        <charset val="204"/>
      </rPr>
      <t xml:space="preserve">, в том числе:                                                                                                                                                                                                                                      ^Рыночная оценка объектов недвижимости: оценка земельных участков.    </t>
    </r>
  </si>
  <si>
    <r>
      <rPr>
        <b/>
        <sz val="14"/>
        <color theme="1"/>
        <rFont val="Times New Roman"/>
        <family val="1"/>
        <charset val="204"/>
      </rPr>
      <t>3.Мероприятия в сфере развития земельно-имущественных отношений - 226,0</t>
    </r>
    <r>
      <rPr>
        <sz val="14"/>
        <color theme="1"/>
        <rFont val="Times New Roman"/>
        <family val="1"/>
        <charset val="204"/>
      </rPr>
      <t xml:space="preserve">, в том числе:                                                      ^Выполнение кадастровых работ,образование земельных участков, исправление кадастровых ошибок - 226,0.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3"/>
        <color theme="1"/>
        <rFont val="Times New Roman"/>
        <family val="1"/>
        <charset val="204"/>
      </rPr>
      <t/>
    </r>
  </si>
  <si>
    <r>
      <t xml:space="preserve">4.Обеспечение обслуживания, содержания и распоряжения муниципальной собственность - 6286,1, </t>
    </r>
    <r>
      <rPr>
        <sz val="14"/>
        <color theme="1"/>
        <rFont val="Times New Roman"/>
        <family val="1"/>
        <charset val="204"/>
      </rPr>
      <t xml:space="preserve">в том числе:                                                                                                                                                                                                                 ^Взносы на капитальный ремонт многоквартирных домов - 90,8;                                                                                                               ^Работы для муниципальных нужд по разбору аварийного здания, расположенного по адресу: рп Усть-Абакан, ул. 30 лет Победы, 1, уборка территории и вывоз мусора - 450,0;                                                                                                                                                  ^Вырубка, кронирование деревьев и кустарников на рп Усть-Абакан ул. 30 лет Победы 1 - 38,0;                                                                                                  ^Опашка з/у (противопожарные мероприятия) - 99,9;                                                                                                                                      ^Поставка автомобиля ГАЗ-С41R13 двусекционная пищевая цистерна объем 4,2 куб.м 2022 года выпуска-5350,0;                                                                                                                                                                                                                                 ^Ремонт муниципального имущества - 234,7;                                                                                                                                                      ^Транспортный налог - 22,7.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color theme="1"/>
        <rFont val="Times New Roman"/>
        <family val="1"/>
        <charset val="204"/>
      </rPr>
      <t/>
    </r>
  </si>
  <si>
    <r>
      <rPr>
        <b/>
        <sz val="14"/>
        <rFont val="Times New Roman"/>
        <family val="1"/>
        <charset val="204"/>
      </rPr>
      <t xml:space="preserve">Обеспечение благоустроенным жильем граждан, проживающих на сельской территории </t>
    </r>
    <r>
      <rPr>
        <sz val="14"/>
        <rFont val="Times New Roman"/>
        <family val="1"/>
        <charset val="204"/>
      </rPr>
      <t xml:space="preserve">- 1006,9, из них: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>1.Строительство жилья, предоставляемого по договору найма жилого помещения, в том числе разработка проектно-сметной документации - 53,0</t>
    </r>
    <r>
      <rPr>
        <sz val="14"/>
        <rFont val="Times New Roman"/>
        <family val="1"/>
        <charset val="204"/>
      </rPr>
      <t xml:space="preserve">, из них: Оплата земельного налога и налога на имущество по строительству жилья,предоставляемого по договору найма.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2.Обеспечение комплексного развития сельских территорий в части улучшения жилищных условий граждан, проживающих на сельских территориях (в том числе софинансирование с республиканским бюджетом) - </t>
    </r>
    <r>
      <rPr>
        <sz val="14"/>
        <rFont val="Times New Roman"/>
        <family val="1"/>
        <charset val="204"/>
      </rPr>
      <t>953,9, в том числе:</t>
    </r>
    <r>
      <rPr>
        <b/>
        <sz val="14"/>
        <rFont val="Times New Roman"/>
        <family val="1"/>
        <charset val="204"/>
      </rPr>
      <t xml:space="preserve"> 721,0 (МБ), 2,3 (РХ), 230,6 (ФБ) </t>
    </r>
    <r>
      <rPr>
        <sz val="14"/>
        <rFont val="Times New Roman"/>
        <family val="1"/>
        <charset val="204"/>
      </rPr>
      <t>Получен сертификат на покупку жилья - 1 чел.</t>
    </r>
  </si>
  <si>
    <r>
      <rPr>
        <b/>
        <sz val="14"/>
        <rFont val="Times New Roman"/>
        <family val="1"/>
        <charset val="204"/>
      </rPr>
      <t>Развитие рынка труда (кадровый потенциал) на сельских территориях - 445,2</t>
    </r>
    <r>
      <rPr>
        <sz val="14"/>
        <rFont val="Times New Roman"/>
        <family val="1"/>
        <charset val="204"/>
      </rPr>
      <t>, из них:                                                                                                                              ^Приобретение торговых прилавков для ярмарки - 415,2;                                                                                                                                                        ^Формирование призового фонда республиканских конно-спортивных соревнований в г.Абакан - 30,0.</t>
    </r>
  </si>
  <si>
    <r>
      <t>Обеспечение деятельности органов местного самоуправления - 8 778,8,</t>
    </r>
    <r>
      <rPr>
        <sz val="14"/>
        <rFont val="Times New Roman"/>
        <family val="1"/>
        <charset val="204"/>
      </rPr>
      <t xml:space="preserve"> из них:                                                            </t>
    </r>
    <r>
      <rPr>
        <b/>
        <sz val="14"/>
        <rFont val="Times New Roman"/>
        <family val="1"/>
        <charset val="204"/>
      </rPr>
      <t xml:space="preserve">1.Органы местного самоуправления - 7080,0, </t>
    </r>
    <r>
      <rPr>
        <sz val="14"/>
        <rFont val="Times New Roman"/>
        <family val="1"/>
        <charset val="204"/>
      </rPr>
      <t xml:space="preserve">в том числе: заработная плата – 4346,8; социальное пособие - 9,9; начисления на выплаты по оплате труда – 1194,1; услуги связи – 77,2; коммунальные услуги - 332,2; работы, услуги по содержанию имущества – 126,4; прочие работы, услуги – 783,9; страхование - 2,2; увеличение стоимости основных средств - 22,0; увеличение стоимости материальных запасов – 159,2; прочие расходы – 26,1.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2.Содержание объекта по утилизации биологических отходов - 143,0 </t>
    </r>
    <r>
      <rPr>
        <sz val="14"/>
        <rFont val="Times New Roman"/>
        <family val="1"/>
        <charset val="204"/>
      </rPr>
      <t xml:space="preserve">оплата за охрану и содержание объекта по договору.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>3.Осуществление отдельных государственных полномочий по предупреждению и ликвидации болезней животных - 1555,8 (РХ)</t>
    </r>
    <r>
      <rPr>
        <sz val="14"/>
        <rFont val="Times New Roman"/>
        <family val="1"/>
        <charset val="204"/>
      </rPr>
      <t>, из них: заработная плата – 439,4; начисления на выплаты по оплате труда – 132,7; уничтожение биологических отходов путем сжигания в спец.печах - 886,7; ГСМ - 93,0; страховка - 3,4; запчасти - 0,6.</t>
    </r>
  </si>
  <si>
    <r>
      <rPr>
        <b/>
        <sz val="14"/>
        <rFont val="Times New Roman"/>
        <family val="1"/>
        <charset val="204"/>
      </rPr>
      <t>1. Обеспечение деятельности подведомственных учреждений (МАУ "Музей "Древние курганы Салбыкской степи") - 1264,5</t>
    </r>
    <r>
      <rPr>
        <sz val="14"/>
        <rFont val="Times New Roman"/>
        <family val="1"/>
        <charset val="204"/>
      </rPr>
      <t>, в том числе: 1. Оплата труда - 629,2; 2. Начисления на выплаты по оплате труда - 165,6; 3.Услуги по содержанию имущества - 260,7; 4.Увеличение стоимости проч.расходов - 38,8; 5. Страхование ТС - 6,2; 6. Увеличение стоимости ОС - 8,9; 7. Увеличение стоимости ГСМ - 112,9; 8. Увеличение стоимости строй материалов - 6,0; 9. Увеличение стоимости прочих мат.запасов - 21,3; 10. Прочие расходы - 6,4; 11. Остаток на счете - 8,5.</t>
    </r>
  </si>
  <si>
    <r>
      <rPr>
        <b/>
        <sz val="14"/>
        <rFont val="Times New Roman"/>
        <family val="1"/>
        <charset val="204"/>
      </rPr>
      <t xml:space="preserve">2. Содействие формирования туристической инфраструктуры и материально-технической базы - </t>
    </r>
    <r>
      <rPr>
        <sz val="14"/>
        <rFont val="Times New Roman"/>
        <family val="1"/>
        <charset val="204"/>
      </rPr>
      <t>1200,1,</t>
    </r>
    <r>
      <rPr>
        <b/>
        <sz val="14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 xml:space="preserve"> из них: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1. Обеспечение безопасности музейного фонда и развитие музеев - 51,7, </t>
    </r>
    <r>
      <rPr>
        <sz val="14"/>
        <rFont val="Times New Roman"/>
        <family val="1"/>
        <charset val="204"/>
      </rPr>
      <t>приобретение генератора.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                 2. Укрепление материально-технической базы </t>
    </r>
    <r>
      <rPr>
        <sz val="14"/>
        <rFont val="Times New Roman"/>
        <family val="1"/>
        <charset val="204"/>
      </rPr>
      <t xml:space="preserve">(Стол и лавка из массива дерева) </t>
    </r>
    <r>
      <rPr>
        <b/>
        <sz val="14"/>
        <rFont val="Times New Roman"/>
        <family val="1"/>
        <charset val="204"/>
      </rPr>
      <t>- 128,0;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3. Укрепление материально-технической базы муниципальных учреждений в сфере культуры - 20,4 (МБ); 1000,00 (РХ), </t>
    </r>
    <r>
      <rPr>
        <sz val="14"/>
        <rFont val="Times New Roman"/>
        <family val="1"/>
        <charset val="204"/>
      </rPr>
      <t xml:space="preserve">их них:          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</t>
    </r>
    <r>
      <rPr>
        <sz val="14"/>
        <rFont val="Times New Roman"/>
        <family val="1"/>
        <charset val="204"/>
      </rPr>
      <t xml:space="preserve">1. Беседка деревянная с крышей - 600,0;                                                                                                                                                                                    2. Интерактивный стол LigaSmart IT 55(ОПТИМА) - 420,4.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</si>
  <si>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4"/>
        <rFont val="Times New Roman"/>
        <family val="1"/>
        <charset val="204"/>
      </rPr>
      <t>1. Осуществление муниципальных функций в финансовой сфере - 11369,2:                                                                                                              ^</t>
    </r>
    <r>
      <rPr>
        <sz val="14"/>
        <rFont val="Times New Roman"/>
        <family val="1"/>
        <charset val="204"/>
      </rPr>
      <t xml:space="preserve">Обеспечение деятельности УФиЭ, в том числе: заработная плата – 7909,6; начисления на выплаты по оплате труда – 2372,4; услуги связи – 93,1; работы, услуги по содержанию имущества – 58,0; прочие работы, услуги – 522,0; страхование - 5,5; увеличение стоимости основных средств – 284,6; увеличение стоимости материальных запасов – 122,8; прочие расходы – 1,2.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 </t>
    </r>
    <r>
      <rPr>
        <sz val="14"/>
        <color rgb="FFFF000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/>
    </r>
  </si>
  <si>
    <r>
      <rPr>
        <b/>
        <sz val="14"/>
        <rFont val="Times New Roman"/>
        <family val="1"/>
        <charset val="204"/>
      </rPr>
      <t>2. Выравнивание бюджетной обеспеченности и обеспечение сбалансированности бюджетов муниципальных образований Усть-Абаканского района - 93017,2</t>
    </r>
    <r>
      <rPr>
        <sz val="14"/>
        <rFont val="Times New Roman"/>
        <family val="1"/>
        <charset val="204"/>
      </rPr>
      <t xml:space="preserve">, в том числе:                                                                                                                                ^Дотации на выравнивание бюджетной обеспеченности поселений - 85364,0;                                                                   ^Иные межбюджетные трансферты на поддержку мер по обеспечению сбалансированности бюджетов поселений - 7653,2.     </t>
    </r>
  </si>
  <si>
    <r>
      <rPr>
        <b/>
        <sz val="14"/>
        <rFont val="Times New Roman"/>
        <family val="1"/>
        <charset val="204"/>
      </rPr>
      <t>3. Реализация государственной политики в сфере государственных закупок - 7431,0,</t>
    </r>
    <r>
      <rPr>
        <sz val="14"/>
        <rFont val="Times New Roman"/>
        <family val="1"/>
        <charset val="204"/>
      </rPr>
      <t xml:space="preserve"> в том числе: </t>
    </r>
    <r>
      <rPr>
        <b/>
        <sz val="14"/>
        <rFont val="Times New Roman"/>
        <family val="1"/>
        <charset val="204"/>
      </rPr>
      <t>^</t>
    </r>
    <r>
      <rPr>
        <sz val="14"/>
        <rFont val="Times New Roman"/>
        <family val="1"/>
        <charset val="204"/>
      </rPr>
      <t xml:space="preserve">Обеспечение деятельности подведомственных учреждений (обеспечение деятельности МКУ "Усть-Абаканская районная правовая служба"),  в том числе: заработная плата - 5431,1; начисления на выплаты по оплате труда – 1466,2; командировочные расходы - 51,8; услуги связи – 57,8; работы, услуги по содержанию имущества – 31,9; прочие работы, услуги – 227,3; страховка - 2,0; увеличение стоимости основных средств - 93,7; увеличение стоимости материальных запасов – 67,8; уплата прочих налогов - 1,4. </t>
    </r>
  </si>
  <si>
    <r>
      <rPr>
        <b/>
        <sz val="14"/>
        <rFont val="Times New Roman"/>
        <family val="1"/>
        <charset val="204"/>
      </rPr>
      <t xml:space="preserve">4. Финансовое обеспечение переданных органам местного самоуправления полномочий - 982,7 (РХ), </t>
    </r>
    <r>
      <rPr>
        <sz val="14"/>
        <rFont val="Times New Roman"/>
        <family val="1"/>
        <charset val="204"/>
      </rPr>
      <t xml:space="preserve">из них:                                                                                                                                                                                                                                                         ^Осуществление государственных полномочий по образованию и обеспечению деятельности комиссий по делам несовершеннолетних и защите их прав - 433,9 (РХ)      </t>
    </r>
  </si>
  <si>
    <t xml:space="preserve">^Осуществление государственных полномочий по созданию, организации и обеспечению деятельности административных комиссий муниципальных образований - 533,8 (РХ).    </t>
  </si>
  <si>
    <r>
      <rPr>
        <b/>
        <sz val="14"/>
        <color theme="1"/>
        <rFont val="Times New Roman"/>
        <family val="1"/>
        <charset val="204"/>
      </rPr>
      <t xml:space="preserve">1.Мероприятия, направленные на стимулирование деловой активности хозяйствующих субъектов, осуществляющих торговую деятельность - </t>
    </r>
    <r>
      <rPr>
        <sz val="14"/>
        <color theme="1"/>
        <rFont val="Times New Roman"/>
        <family val="1"/>
        <charset val="204"/>
      </rPr>
      <t xml:space="preserve">Проведение районного конкурса "Лучшее предприятие торговли" запланировано на 4 квартал 2022 года;                                                                                                                                                                        </t>
    </r>
    <r>
      <rPr>
        <b/>
        <sz val="14"/>
        <color theme="1"/>
        <rFont val="Times New Roman"/>
        <family val="1"/>
        <charset val="204"/>
      </rPr>
      <t>2.Возмещение части затрат хозяйствующим субъектам, осуществляющим торговую деятельность</t>
    </r>
    <r>
      <rPr>
        <sz val="14"/>
        <color theme="1"/>
        <rFont val="Times New Roman"/>
        <family val="1"/>
        <charset val="204"/>
      </rPr>
      <t xml:space="preserve"> Документы на компенсацию затрат от Московского потребительского общества, осуществляющего доставку в 2021 году продуктовых и непродуктовых товаров жителям малых сел, не имеющих стационарных точек торговли, в 3-м квартале 2022 года не предоставлялись.</t>
    </r>
  </si>
  <si>
    <r>
      <rPr>
        <b/>
        <sz val="14"/>
        <color theme="1"/>
        <rFont val="Times New Roman"/>
        <family val="1"/>
        <charset val="204"/>
      </rPr>
      <t xml:space="preserve">Содействие в обеспеченности жилыми помещениями молодых семей - </t>
    </r>
    <r>
      <rPr>
        <sz val="14"/>
        <color theme="1"/>
        <rFont val="Times New Roman"/>
        <family val="1"/>
        <charset val="204"/>
      </rPr>
      <t>1002,4</t>
    </r>
    <r>
      <rPr>
        <b/>
        <sz val="14"/>
        <color theme="1"/>
        <rFont val="Times New Roman"/>
        <family val="1"/>
        <charset val="204"/>
      </rPr>
      <t>: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^Предоставлена социальная выплата 1 молодой семье - </t>
    </r>
    <r>
      <rPr>
        <b/>
        <sz val="14"/>
        <color theme="1"/>
        <rFont val="Times New Roman"/>
        <family val="1"/>
        <charset val="204"/>
      </rPr>
      <t>296,1 (МБ), 146,3 (РХ), 560,0 (РФ).</t>
    </r>
    <r>
      <rPr>
        <sz val="14"/>
        <color theme="1"/>
        <rFont val="Times New Roman"/>
        <family val="1"/>
        <charset val="204"/>
      </rPr>
      <t xml:space="preserve">   </t>
    </r>
  </si>
  <si>
    <r>
      <rPr>
        <b/>
        <sz val="14"/>
        <rFont val="Times New Roman"/>
        <family val="1"/>
        <charset val="204"/>
      </rPr>
      <t xml:space="preserve">1. Социальные выплаты гражданам, в соответствии с действующим законодательством - </t>
    </r>
    <r>
      <rPr>
        <sz val="14"/>
        <rFont val="Times New Roman"/>
        <family val="1"/>
        <charset val="204"/>
      </rPr>
      <t>5167,9, из них:</t>
    </r>
    <r>
      <rPr>
        <b/>
        <sz val="14"/>
        <rFont val="Times New Roman"/>
        <family val="1"/>
        <charset val="204"/>
      </rPr>
      <t xml:space="preserve"> 4787,2 (МБ), 380,7 (РХ)</t>
    </r>
    <r>
      <rPr>
        <sz val="14"/>
        <rFont val="Times New Roman"/>
        <family val="1"/>
        <charset val="204"/>
      </rPr>
      <t>, в том числе: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^Доплаты к пенсиям муниципальным служащим - 4561,9;                                                                                                                                                  ^Оказание материальной помощи малообеспеченным категориям населения  (4 чел.) - 50,0;                                                                                                                 ^Обеспечение мер социальной поддержки специалистов культуры, проживающих в сельской местности (компенсация за комунальные услуги специалистам культуры вышедшим на пенсию, проживающим и работающим  в сельской местности) - 25,3;                                                                                                                                                                ^Оказание адресной помощи малоимущим гражданам, пострадавшим от пожара, а также ремонт и восстановление отопительных печей и ветхих отопительных сетей, находящихся в пожароопасном состоянии - 150,0 (9 чел.);                                                                                                                                                                             ^Осуществление отдельных государственных полномочий в сфере социальной поддержки работников муниципальных организаций культуры, работающих и проживающих в сельских населенных пунктах, поселках городского типа - 380,7 (РХ).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2.Осуществление государственных полномочий по выплатам гражданам, имеющим детей - </t>
    </r>
    <r>
      <rPr>
        <sz val="14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3737,5 (РХ) ^</t>
    </r>
    <r>
      <rPr>
        <sz val="14"/>
        <rFont val="Times New Roman"/>
        <family val="1"/>
        <charset val="204"/>
      </rPr>
      <t>Компенсация части родительской платы за присмотр и уход за ребенком в муниципальных образовательных организациях</t>
    </r>
  </si>
  <si>
    <r>
      <t xml:space="preserve">1.Осуществление государственных полномочий по организации и осуществлению деятельности по опеке и попечительству - 5106,50 (РХ): </t>
    </r>
    <r>
      <rPr>
        <sz val="14"/>
        <rFont val="Times New Roman"/>
        <family val="1"/>
        <charset val="204"/>
      </rPr>
      <t xml:space="preserve">Субсидии на выполнения муниципального задания: из средств респуб.бюджета на оплату труда - 4691,3, услуги связи - 113,4, коммунальные услуги - 29,6, услуги по содержанию имущества - 81,1, прочие услуги - 90,9, приобретение мат.запасов - 100,2.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>2.Предоставление ежемесячных денежных выплат на содержание детей-сирот и детей, оставшихся без попечения родителей в семье опекуна и приёмной семье, а также вознаграждение, причитающееся приёмному родителю - 30656,3 (РХ),</t>
    </r>
    <r>
      <rPr>
        <sz val="14"/>
        <rFont val="Times New Roman"/>
        <family val="1"/>
        <charset val="204"/>
      </rPr>
      <t xml:space="preserve"> в том числе: Опекунское пособие на 273 ребенка - 18191,8; вознаграждение приемным семьям 53 чел. - 12464,5.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3.Предоставление жилых помещений детям-сиротам и детям, оставшимся безе попечения родителей, лицам из их числа по договорам найма специализированных жилых помещений - </t>
    </r>
    <r>
      <rPr>
        <sz val="14"/>
        <rFont val="Times New Roman"/>
        <family val="1"/>
        <charset val="204"/>
      </rPr>
      <t xml:space="preserve">40845,5, в том числе: </t>
    </r>
    <r>
      <rPr>
        <b/>
        <sz val="14"/>
        <rFont val="Times New Roman"/>
        <family val="1"/>
        <charset val="204"/>
      </rPr>
      <t xml:space="preserve">29784,0 (РХ), 11061,5 (ФБ) </t>
    </r>
    <r>
      <rPr>
        <sz val="14"/>
        <rFont val="Times New Roman"/>
        <family val="1"/>
        <charset val="204"/>
      </rPr>
      <t>Приобретены 16 квартир для лиц из числа детей-сирот и детей, оставшихся без попечения родителей, общей площадью 603,2 кв.м..</t>
    </r>
  </si>
  <si>
    <r>
      <t>1.Обеспечение деятельности подведомственных учреждений (муниципальное автономное учреждение «Усть-Абаканский загородный лагерь Дружба» - 2031,4</t>
    </r>
    <r>
      <rPr>
        <sz val="14"/>
        <rFont val="Times New Roman"/>
        <family val="1"/>
        <charset val="204"/>
      </rPr>
      <t xml:space="preserve">, Субсидии на выполнения муниципального задания из средств МБ: оплата труда - 1606,6, коммунальные услуги - 131,2, прочие услуги - 7,9, прочие расходы - 68,2, приобретение мат.запасов - 217,5.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>2</t>
    </r>
    <r>
      <rPr>
        <sz val="14"/>
        <rFont val="Times New Roman"/>
        <family val="1"/>
        <charset val="204"/>
      </rPr>
      <t>.</t>
    </r>
    <r>
      <rPr>
        <b/>
        <sz val="14"/>
        <rFont val="Times New Roman"/>
        <family val="1"/>
        <charset val="204"/>
      </rPr>
      <t xml:space="preserve">Капитальный ремонт, в муниципальных учреждениях, т.ч. разработка ПСД - 33,7 </t>
    </r>
    <r>
      <rPr>
        <sz val="14"/>
        <rFont val="Times New Roman"/>
        <family val="1"/>
        <charset val="204"/>
      </rPr>
      <t>Проверка сметной документации на капитальный ремонт МАУ "ЗЛ "Дружба"</t>
    </r>
    <r>
      <rPr>
        <b/>
        <sz val="14"/>
        <rFont val="Times New Roman"/>
        <family val="1"/>
        <charset val="204"/>
      </rPr>
      <t xml:space="preserve">   </t>
    </r>
    <r>
      <rPr>
        <sz val="14"/>
        <rFont val="Times New Roman"/>
        <family val="1"/>
        <charset val="204"/>
      </rPr>
      <t xml:space="preserve">                                                                            </t>
    </r>
    <r>
      <rPr>
        <b/>
        <sz val="14"/>
        <rFont val="Times New Roman"/>
        <family val="1"/>
        <charset val="204"/>
      </rPr>
      <t>3.Мероприятия по организации отдыха, оздоровления и занятости несовершеннолетних - 2881,8,</t>
    </r>
    <r>
      <rPr>
        <sz val="14"/>
        <rFont val="Times New Roman"/>
        <family val="1"/>
        <charset val="204"/>
      </rPr>
      <t xml:space="preserve"> из них:</t>
    </r>
    <r>
      <rPr>
        <b/>
        <sz val="14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 xml:space="preserve"> ^Приобретение облучателей, мебели и мягкого инвентаря зл Дружба - 2638,0;                                                                                                                        ^Организация временного трудоустройства несовершеннолетних граждан в свободное от учебы время (в том числе состоящие на учете в КДН) - 7 учр. (23 реб.) - 141,6;                                                                                                                          ^Трудовой отряд "СУЭК" оплата труда несовершеннолетних МБОУ "Усть-Абаканская СОШ" (10 чел.) - 86,2;                                                                                                                                                                                                                                         ^Приобретение формы трудового отряда - 16,0.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3"/>
        <rFont val="Times New Roman"/>
        <family val="1"/>
        <charset val="204"/>
      </rPr>
      <t/>
    </r>
  </si>
  <si>
    <r>
      <t>4.Проведение ремонта загородных детских лагерей, оздоровительных лагерей - 2844,5 (РХ) ^</t>
    </r>
    <r>
      <rPr>
        <sz val="14"/>
        <rFont val="Times New Roman"/>
        <family val="1"/>
        <charset val="204"/>
      </rPr>
      <t xml:space="preserve">Отремонтирована кровля мед.пункта, 2 крыльца клуба, крыльцо столовой, душевые помещения, полы в 6 уличных туалетах, произведен капитальный ремонт летнего водопровода, канализации.
Сделаны бетонные дорожки на территории лагеря, оплата пройдет в 4 квартале.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>5.Ремонт загородных детских лагерей, оздоровительных лагерей - 58,0,</t>
    </r>
    <r>
      <rPr>
        <sz val="14"/>
        <rFont val="Times New Roman"/>
        <family val="1"/>
        <charset val="204"/>
      </rPr>
      <t xml:space="preserve"> Софинансирование к республиканскому бюджету на оплату ремонтных работ в лагере "Дружба".</t>
    </r>
  </si>
  <si>
    <r>
      <t>1.Проведение спортивных мероприятий, обеспечение подготовки команд - 96,7</t>
    </r>
    <r>
      <rPr>
        <sz val="14"/>
        <rFont val="Times New Roman"/>
        <family val="1"/>
        <charset val="204"/>
      </rPr>
      <t xml:space="preserve">, в том числе:                                                                              1. Первенство СФО по боксу среди девушек (15-16 лет) г.Кемерово - 11,6;        </t>
    </r>
    <r>
      <rPr>
        <sz val="14"/>
        <color rgb="FFFF0000"/>
        <rFont val="Times New Roman"/>
        <family val="1"/>
        <charset val="204"/>
      </rPr>
      <t xml:space="preserve">                                                                                                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2. Участие в VI турнире по мини-хоккею с мячом «Ледова дружина» среди детей 2012 г.р. и младше г.Красноярск - 4,6;                                                                                                                                                                                                                                                                3. Первенство и СФО по спортивному ориентированию - 15,6;                                                                                                                                                       4. Первенство России по рукопашному бою среди юниоров г.Орел - 11,5;                                                                                                                           5. Участие в турнире «Лига Сибири» по баскетболу г.Зеленогорск - 5,9;                                                                                                                              6. Участие в первенстве СФО по спортивной волной борьбе г.Тулун - 8,4;                                                                                                7. Участие в открытом международном турнире по боксу «Слюдянский ринг» Иркутской области - 14,6;                                                                           8. Участие в блиц-турнире по хоккею с мячом, посвященному закрытию зимнего сезона в г.Кемерово - 11,5;                                                                                                                                                                                                                                           9. Участие в республиканских соревнованиях по футболу «Кубок Победы» в рамках празднования 77-й годовщины Победы в ВОВ в п.Шира - 3,5;                                                                                                                                                        10. Блиц турнир по хоккею с мячом среди мальчиков 2012 г.р., посвященный закрытию зимнего сезона - 9,5.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</si>
  <si>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2.Обеспечение развития отрасли физической культуры и спорта - </t>
    </r>
    <r>
      <rPr>
        <sz val="14"/>
        <rFont val="Times New Roman"/>
        <family val="1"/>
        <charset val="204"/>
      </rPr>
      <t>7795,0</t>
    </r>
    <r>
      <rPr>
        <b/>
        <sz val="14"/>
        <rFont val="Times New Roman"/>
        <family val="1"/>
        <charset val="204"/>
      </rPr>
      <t xml:space="preserve">, </t>
    </r>
    <r>
      <rPr>
        <sz val="14"/>
        <rFont val="Times New Roman"/>
        <family val="1"/>
        <charset val="204"/>
      </rPr>
      <t xml:space="preserve">в том числе:                                                  </t>
    </r>
    <r>
      <rPr>
        <b/>
        <sz val="14"/>
        <rFont val="Times New Roman"/>
        <family val="1"/>
        <charset val="204"/>
      </rPr>
      <t>1. Обеспечение деятельности подведомственных учреждений (МБУДО "Усть-Абаканская СШ") - 3444,0</t>
    </r>
    <r>
      <rPr>
        <sz val="14"/>
        <rFont val="Times New Roman"/>
        <family val="1"/>
        <charset val="204"/>
      </rPr>
      <t>, в том числе:</t>
    </r>
    <r>
      <rPr>
        <b/>
        <sz val="14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 xml:space="preserve">1. Заработная плата - 2675,6; 2. Начисления на выплаты по оплате труда - 768,4.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</si>
  <si>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32. Проведение XV-й Спартакиады Усть-Абаканского района, посвященной Победе советского народа в ВОВ - 27,5;                                                                                                                                                                                                                      33. Детям планеты - мир без наркотиков - 5,0;                                                                                                                                                                                 34. Проведение спортивно-массовых мероприятий «Открытие спортивного сезона - 2022» - 61,0;                                                                                          35. Соревнования «Легкоатлетический забег ВФСК ГТО» - 5,4;                                                                                                                                            36. Всероссийский день физкультурника - 33,0;                                                                                                                                                          Остаток на счете - 20,3.</t>
  </si>
  <si>
    <r>
      <t xml:space="preserve">6.Строительство универсального спортивного зала п.Усть-Абакан - 1189,0, </t>
    </r>
    <r>
      <rPr>
        <sz val="14"/>
        <rFont val="Times New Roman"/>
        <family val="1"/>
        <charset val="204"/>
      </rPr>
      <t>в том числе:                                                                                           1. Повторная госэкспертиза - 60,2;                                                                                                                                                                                                2. Внесение изменений в сметную документацию - 148,7;                                                                                                                                                                     3. Авторский надзор - 64,6;                                                                                                                                                                                                       4.Стройконтроль - 915,5.</t>
    </r>
  </si>
  <si>
    <r>
      <rPr>
        <b/>
        <sz val="14"/>
        <rFont val="Times New Roman"/>
        <family val="1"/>
        <charset val="204"/>
      </rPr>
      <t>3.Физкультурно-оздоровительная работа с различными категориями населения - 388,4,</t>
    </r>
    <r>
      <rPr>
        <sz val="14"/>
        <rFont val="Times New Roman"/>
        <family val="1"/>
        <charset val="204"/>
      </rPr>
      <t xml:space="preserve"> в том числе:                                                                                                                                                                                                                                                                                                                                                                               1. «Лыжня России-2022» - 3,5;                                                                                                                                                                                      2. Первенство Усть-Абаканского района по мини-футболу - 5,5;                                                                                                                                    3. Проведение 1 этапа зимнего фестиваля ВФСК «Готов к труду и обороне» (ГТО) среди учащихся III-V ступени общеобразовательных учреждений У-Абаканского района - 4,8;                                                                                                                                           4. Турнир по хоккею с мячом на Кубок Главы Усть-Абаканского района среди мальчиков - 36,5;                                                                                                                  5. Турнир по хоккею с мячом на призы Заслуженного мастера спорта России Джусоева Алана среди мальчиков 2010-2011 гг.р. - 6,7;                                                                                                                                                                                     6. Фестиваль по волейболу - 2,94;                                                                                                                                                                                                            7. Первенство Усть-Абаканского района по волейболу - 4,92;                                                                                                                               8. Первенство по Мини-футболу - 6,3;                                                                                                                                                           9. Спортивные мероприятия, посвященные празднованию Дню Защиты детей - 10,0;                                                                                                                                                10. Первенство Усть-Абаканского района по русской лапте, посвященное Дню России - 1,8;                                                                                                              11. Спартакиада ВФСК «Готов к труду и обороне» (ГТО) - 12,14;                                                                                                                                            12. Соревнования «Рекорды ГТО» в рамках акции «Лето с ГТО» - 4,8;                                                                                                                                                   13. Открытый турнир по настольному теннису, посвященного Всероссийскому дню настольного тенниса - 1,8;                                                                                                                                                                                                                          14. Открытый турнир по всестиливому каратэ «Кубок Победы» - 10,0;                                                                                                                                      15. Муниципальный этап республиканских соревнований «Школьная спортивная лига Хакасии» - 10,8;                                                                                                              16. Лично-командное первенство спортивной школы по русским шашкам среди дошкольников - 1,8; </t>
    </r>
  </si>
  <si>
    <r>
      <rPr>
        <b/>
        <sz val="14"/>
        <rFont val="Times New Roman"/>
        <family val="1"/>
        <charset val="204"/>
      </rPr>
      <t>7. Разработка проектно-сметной документации</t>
    </r>
    <r>
      <rPr>
        <sz val="14"/>
        <rFont val="Times New Roman"/>
        <family val="1"/>
        <charset val="204"/>
      </rPr>
      <t xml:space="preserve"> "Ремонт автомобильной дороги с. Солнечное - д. Курганная Усть-Абаканского района Республики Хакасия" - </t>
    </r>
    <r>
      <rPr>
        <b/>
        <sz val="14"/>
        <rFont val="Times New Roman"/>
        <family val="1"/>
        <charset val="204"/>
      </rPr>
      <t>595,8</t>
    </r>
    <r>
      <rPr>
        <sz val="14"/>
        <rFont val="Times New Roman"/>
        <family val="1"/>
        <charset val="204"/>
      </rPr>
      <t>.</t>
    </r>
  </si>
  <si>
    <r>
      <rPr>
        <b/>
        <sz val="14"/>
        <rFont val="Times New Roman"/>
        <family val="1"/>
        <charset val="204"/>
      </rPr>
      <t>6. Ремонт автомобильных дорог - 13182,8,</t>
    </r>
    <r>
      <rPr>
        <sz val="14"/>
        <rFont val="Times New Roman"/>
        <family val="1"/>
        <charset val="204"/>
      </rPr>
      <t xml:space="preserve"> из них:                                                                                                                                                                                          ^Ямочный ремонт асфальтобетонного покрытия автомобильных дорог местного значения в Доможаковском сельсовете - 348,8;                                                                                                                                                                                             ^Ямочный ремонт асфальтобетонного покрытия автомобильных дорог местного значения в Московском сельсовете - 353,6,                                                                                                                                                                                                          ^Ремонт автомобильных дорог местного значения в границах муниципального образования Вершино-Биджинский сельсовет (ул. Юбилейная 0,454 км) - 3050,0;                                                                                                                                                                  ^Ремонт автомобильной дороги ул. Заречная с. Усть-Бюр (1,5 км) - 1950,0;                                                                                                                                                         ^Ремонт автомобильной дороги с. Солнечное - д. Курганная Усть-Абаканского района Республики Хакасия на участках: км 3+400 - км 3+800, км 4+500 - км 5+000 и организация безопасности дорожного движения на участке км 0+000 - км 13+000 (0,9 км) - 7077,3;                                                                                                                                                                                            ^Ремонт асфальтобетонного покрытия автомобильной дороги ул. 30 лет Победы с. Вершино-Биджа Усть-Абаканского района Республики Хакасия - 403,1.</t>
    </r>
  </si>
  <si>
    <r>
      <t xml:space="preserve">3.Капитальный ремонт, ремонт автомобильных дорог общего пользования местного значения городских округов и поселений, малых и отдельных сел Республики Хакасия, а также на капитальный ремонт, ремонт искуственных сооружений (в том числе на разработку проектной документации) (софинансирование) - 360,3, </t>
    </r>
    <r>
      <rPr>
        <sz val="14"/>
        <rFont val="Times New Roman"/>
        <family val="1"/>
        <charset val="204"/>
      </rPr>
      <t xml:space="preserve">из них: Софинансирование из бюджета МО Усть-Абаканский район субсидий из республиканского бюджета Республики Хакасия:                                                                                                                                          ^Ремонт асфальтобетонного покрытия автомобильной дороги ул. 30 лет Победы с. Вершино-Биджа Усть-Абаканского района Республики Хакасия - 98,9;                                                                                                                                                ^Ремонт автомобильной дороги ул. Павлика Морозова  аал Мохов - 17,1;                                                                                                              ^Ремонт автомобильной дороги ул. Школьная аал Мохов - 23,8;                                                                                                                           ^Ремонт автомобильной дороги ул. Курченко аал Мохов - 16,9;                                                                                                                            ^Ремонт автомобильной дороги ул. Подгорная с. Московское - 21,6;                                                                                                                       ^Ремонт автомобильной дороги аал Чарков - аал Уйбат - 88,0;                                                                                                                                ^Ремонт автомобильной дороги с. Усть-Бюр - хутор Верхний Тибик - 35,2;                                                                                              ^Ремонт автомобильной дороги ул. Станционная с. Усть-Бюр - 58,8.  </t>
    </r>
  </si>
  <si>
    <r>
      <t>4.Иные межбюджетные трансферты на содержание, ремонт, капитальный ремонт и строительство автомобильных дорог общего пользования местного значения, в том числе разработка  проектно-сметной документации - 1347,9</t>
    </r>
    <r>
      <rPr>
        <sz val="14"/>
        <rFont val="Times New Roman"/>
        <family val="1"/>
        <charset val="204"/>
      </rPr>
      <t>, из них: Калининский сельсовет: Устройство парковки и тротуара ул. Советская в д. Чапаево (возле школы)</t>
    </r>
  </si>
  <si>
    <r>
      <t>1.Мероприятия по обеспечению сохранности существующей сети автомобильных дорог общего пользования местного значения -</t>
    </r>
    <r>
      <rPr>
        <sz val="14"/>
        <rFont val="Times New Roman"/>
        <family val="1"/>
        <charset val="204"/>
      </rPr>
      <t xml:space="preserve"> 14904,4, в том числе: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>1. Содержание автомобильных дорог - 125,8</t>
    </r>
    <r>
      <rPr>
        <sz val="14"/>
        <rFont val="Times New Roman"/>
        <family val="1"/>
        <charset val="204"/>
      </rPr>
      <t xml:space="preserve">, из них:                                                                                                                                              ^Содержание автомобильных дорог местного значения в границах муниципального образования Чарковский сельсовет, Усть-Бюрский сельсовет - 16,6;                                                                                                                                        ^Содержание автомобильных дорог общего пользования местного значения, расположенных вне границ населенных пунктов в границах Усть-Абаканского района аал Чарков - аал Ах-Хол-аал Майский - 31,4;                                                                                                                                                                                                               ^Содержание автомобильных дорог местного значения в границах муниципального образования Доможаковский с/с - 11,3;                                                                                                                                                                                                                                                                                                        ^Содержание автомобильных дорог общего пользования местного значения, расположенных вне границ населенных пунктов в границах Усть-Абаканского района общей протяженностью 12,8 км (с.Зеленое - д. Заря - 11 км, Подъезд к д. Заря - 1,8 км) - 12,7;                                                                                                                                                                                ^Содержание автомобильных дорог общего пользования местного значения, расположенных вне границ населенных пунктов в границах Усть-Абаканского района общей протяженностью 14 км ( Подъезд к п. Ильича - 9,2 км, аал Доможаков - аал Трояков - 2,3 км, аал Райков - аал Баинов - 2,5 км ) - 13,9;                                                                                                           ^Содержание автомобильных дорог местного значения в границах муниципального образования Вершино-Биджинский сельсовет, Московский сельсовет - 39,9.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3"/>
        <rFont val="Times New Roman"/>
        <family val="1"/>
        <charset val="204"/>
      </rPr>
      <t/>
    </r>
  </si>
  <si>
    <r>
      <rPr>
        <b/>
        <sz val="14"/>
        <color theme="1"/>
        <rFont val="Times New Roman"/>
        <family val="1"/>
        <charset val="204"/>
      </rPr>
      <t>Организация межмуниципального транспортного обслуживания населения</t>
    </r>
    <r>
      <rPr>
        <sz val="14"/>
        <color theme="1"/>
        <rFont val="Times New Roman"/>
        <family val="1"/>
        <charset val="204"/>
      </rPr>
      <t xml:space="preserve"> - Произведена выплата  перевозчику маршрута № 113 «п.Усть-Абакан – п.Расцвет – п.Тепличный – с.Зелёное»</t>
    </r>
  </si>
  <si>
    <r>
      <rPr>
        <b/>
        <sz val="14"/>
        <rFont val="Times New Roman"/>
        <family val="1"/>
        <charset val="204"/>
      </rPr>
      <t xml:space="preserve">Укрепление безопасности и общественного порядка в Усть-Абаканском районе - 9,9 </t>
    </r>
    <r>
      <rPr>
        <sz val="14"/>
        <rFont val="Times New Roman"/>
        <family val="1"/>
        <charset val="204"/>
      </rPr>
      <t>Поощрение членов общественных организаций правоохранительной направленности.</t>
    </r>
    <r>
      <rPr>
        <b/>
        <sz val="14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</si>
  <si>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4"/>
        <rFont val="Times New Roman"/>
        <family val="1"/>
        <charset val="204"/>
      </rPr>
      <t>Мероприятия по повышению безопасности дорожного движения - 43,9,</t>
    </r>
    <r>
      <rPr>
        <sz val="14"/>
        <rFont val="Times New Roman"/>
        <family val="1"/>
        <charset val="204"/>
      </rPr>
      <t xml:space="preserve"> из них:                                                                                  ^Республиканский слет ЮИД - 1,9;                                                                                                                                                                                           ^"Безопасное колесо - 2022" - 42,0.</t>
    </r>
  </si>
  <si>
    <r>
      <rPr>
        <b/>
        <sz val="14"/>
        <rFont val="Times New Roman"/>
        <family val="1"/>
        <charset val="204"/>
      </rPr>
      <t xml:space="preserve">Развитие дошкольного образования: 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>1.Обеспечение деятельности подведомственных учреждений (Дошкольные организации)</t>
    </r>
    <r>
      <rPr>
        <sz val="14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- 36974,3</t>
    </r>
    <r>
      <rPr>
        <sz val="14"/>
        <rFont val="Times New Roman"/>
        <family val="1"/>
        <charset val="204"/>
      </rPr>
      <t xml:space="preserve">, из них: Расходы на выполнения муниципального задания из средств районного бюджета: оплата труда - 22406,4, услуги связи - 45,6, транспортные услуги - 131,2, коммунальные услуги - 6893,9, услуги по сод.имущества - 1471,4, прочие услуги - 501,0, прочие расходы - 3543,4, приобретение основных средств - 176,1, приобретение мат.запасов - 1805,3.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       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/>
    </r>
  </si>
  <si>
    <r>
      <rPr>
        <b/>
        <sz val="14"/>
        <rFont val="Times New Roman"/>
        <family val="1"/>
        <charset val="204"/>
      </rPr>
      <t>3.Мероприятия по развитию дошкольного образования - 10155,3,</t>
    </r>
    <r>
      <rPr>
        <sz val="14"/>
        <rFont val="Times New Roman"/>
        <family val="1"/>
        <charset val="204"/>
      </rPr>
      <t xml:space="preserve"> в том числе:                                                                                                                                                                                                                                                                          ^Замена, установка пожарных лестниц (д/с Звездочка-10,0, д/с Ромашка-1194,49) - 1204,5;                                                                  ^Приобретение мебели в группу (д/с Звездочка-8,2, д/с Ласточка-48,8, д/с Солнышко-180,0, д/с Родничок-80,1) - 317,1                                                                                                                                                                                                                                                                                                                                                                                                                                                                                                                                                                                                                                                                                                                                                                                                                                                                           ^Санитарная безопасность: приобретение оборудования и инвентаря для пищеблоков (д/с Родничок-63,2, д/с Ромашка-19,4, д/с Звездочка-43,5, д/с Аленушка-35,5, д/с Рябинушка-25,1; д/с Радуга-226,1) - 412,8;                                                                                                                                                                                                                                  ^Санитарная безопасность: приобретение оборудования и инвентаря для медицинских кабинетов (д/с Ромашка-38,0, д/с Калинка-348,6) - 386,6;                                                                                                                                                        ^Приобретение орг.техники: (д/с Ромашка-109,9, д/с Звездочка-115,6, д/с Родничок-110,0, д/с Калинка-40,0, д/с Рябинушка-110,0, д/с Аленушка-110,0, д/с Ласточка-110,0, д/с Радуга-110,0, д/с Солнышко-110,0) - 925,5;                                                                                                                                                                                                                                                                                                                                                                                                                                                                                                                                                                                                                                                                                ^Приобретение огнетушителей, против.знаков, ГДЗК: (д/с Звездочка) - 1,5;                                                                                                                                                                                                                 ^Испытание пожарных кранов и лестниц,огражд.кровли (д/с Ромашка-7,2, д/с Рябинушка-7,0, д/с Радуга-8,0) - 22,2;                                                                                                                                                                                                                                                                  ^Проверка качества огнезащитной обработки дерев.конструкций (д/с Рябинушка-6,0, д/с Радуга-9,6) - 15,6;                                                                                                                                                                                                            ^Ремонт отопления (д/с Аленушка) - 162,4;                                                                                                                                                     ^Установка, дооборуд. АУПС (д/с Радуга-46,6; д/с Ласточка-1013,6; д/с Солнышко-71,1) - 1131,3;                                                                                                                      ^Ремонт освещения, электрооборудования (д/с Радуга-63,8, д/с Звездочка-32,5) - 96,3;                                                                                                    ^ПСД на АУПС: (д/с Звездочка) - 29,3;                                                                                                                                            ^Ремонт помещений: (д/с Рябинушка-1475,8, д/с Ласточка-187,2, д/с Радуга-763,6; д/с Родничок-511,0 (пищ.блок) - 2937,6;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</si>
  <si>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^Замена окон, дверей (д/с Аленушка-92,5, д/с Рябинушка-675,4) - 767,9;                                                                              ^Монтаж ограждения (д/с Родничок-324,0, д/с Звездочка-424,7) - 748,7;                                                                                                         ^Приобретение стиральной машины (д/с Рябинушка) - 50,0;                                                                                                      ^Приобретение оборудования в группу здоровья (д/с Ромашка) - 82,6;                                                                                                                            ^Дооборуд., ремонт видеонаблюдения (д/с Радуга) - 15,0;                                                                                                                      ^Ремонт крыльца (д/с Рябинушка-250,0; д/с Радуга-575,0) - 825,0;                                                                                                         ^Приобретение жалюзи (д/с Ромашка) - 23,4.</t>
  </si>
  <si>
    <r>
      <rPr>
        <b/>
        <sz val="14"/>
        <rFont val="Times New Roman"/>
        <family val="1"/>
        <charset val="204"/>
      </rPr>
      <t xml:space="preserve">4.Обеспечение государственных гарантий реализации прав на получение общедоступного и бесплатного дошкольного образования - 86179,2 (РХ): 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^Субсидии на выполнения муниципального задания из средств республиканского бюджета: оплата труда-83635,8, услуги связи-29,4, прочие услуги- 1200,8, приобретение мат.запасов-1313,2.                                                                                </t>
    </r>
  </si>
  <si>
    <r>
      <t xml:space="preserve">5.Модернизация региональных систем дошкольного образования </t>
    </r>
    <r>
      <rPr>
        <sz val="14"/>
        <rFont val="Times New Roman"/>
        <family val="1"/>
        <charset val="204"/>
      </rPr>
      <t>- 2040,8, из них</t>
    </r>
    <r>
      <rPr>
        <b/>
        <sz val="14"/>
        <rFont val="Times New Roman"/>
        <family val="1"/>
        <charset val="204"/>
      </rPr>
      <t>: 2000,0 (РХ), 40,8 (МБ): ^</t>
    </r>
    <r>
      <rPr>
        <sz val="14"/>
        <rFont val="Times New Roman"/>
        <family val="1"/>
        <charset val="204"/>
      </rPr>
      <t xml:space="preserve">Замена окон: д/с Рябинушка-1020,4, д/с Ласточка-1020,4. </t>
    </r>
  </si>
  <si>
    <r>
      <rPr>
        <b/>
        <sz val="14"/>
        <rFont val="Times New Roman"/>
        <family val="1"/>
        <charset val="204"/>
      </rPr>
      <t xml:space="preserve">Развитие начального общего, основного общего, среднего общего образования:   </t>
    </r>
    <r>
      <rPr>
        <sz val="14"/>
        <rFont val="Times New Roman"/>
        <family val="1"/>
        <charset val="204"/>
      </rPr>
      <t xml:space="preserve">                                                        </t>
    </r>
    <r>
      <rPr>
        <b/>
        <sz val="14"/>
        <rFont val="Times New Roman"/>
        <family val="1"/>
        <charset val="204"/>
      </rPr>
      <t>1.Обеспечение деятельности подведомственных учреждений (Общеобразовательные организации) - 98269,9:</t>
    </r>
    <r>
      <rPr>
        <sz val="14"/>
        <rFont val="Times New Roman"/>
        <family val="1"/>
        <charset val="204"/>
      </rPr>
      <t xml:space="preserve"> из них: Расходы на выполнения муниципального задания из средств районного бюджета: оплата труда-34748,7, услуги связи-177,5, транспортные услуги-1641,4, коммунальные услуги-25892,7, аренда-54,9, услуги по сод.имущества-7170,9, прочие услуги-2824,7, прочие расходы-16224,6, приобретение основных средств-955,8, приобретение мат.запасов-8578,7.</t>
    </r>
  </si>
  <si>
    <r>
      <rPr>
        <b/>
        <sz val="14"/>
        <rFont val="Times New Roman"/>
        <family val="1"/>
        <charset val="204"/>
      </rPr>
      <t>3. Капитальный ремонт в муниципальных учреждениях, в том числе проектно-сметная документация - 627,7</t>
    </r>
    <r>
      <rPr>
        <sz val="14"/>
        <rFont val="Times New Roman"/>
        <family val="1"/>
        <charset val="204"/>
      </rPr>
      <t xml:space="preserve">, в том числе:                                                                                                                                                                                                                                                                                                                                                                                                                                                                                                                                                                                                                                                                                                                                                                                                                                                                        ^Проверка сметной документации на капитальный ремонт (Росток-20,0, В-Биджинская СОШ-17,4, Райковская СОШ-19,4) - 56,8;                                                                                                                                                                                                                                                                                                   ^ПСД на кап.ремонт (Весенненская СОШ) - 398,5;                                                                                                                         ^Гос.экспертиза сметной стоимости на капитальный ремонт (Чапаевская СОШ-98,0; В-Биджинская СОШ-74,4) - 172,4.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</si>
  <si>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^Проверка сметной документации на ремонт кабинетов (Расцветская СОШ-6,8, Московская СОШ-13,0, Опытненская СОШ-6,7) - 26,5;                                                                                                                                                           ^Проведение ГИА - 22,2;                                                                                                                                                                                ^Определение категории помещений по взрывопожарной опасности (Опытненская СОШ-6,4, Весенненская СОШ-24,0, Солнечная СОШ-7,0) - 37,4;                                                                                                                                                                                                     ^Испытание пожарных кранов и лестниц,ограждений кровли (Росток-8,0, ОШИ-2,0, Усть-Абаканская СОШ-17,0, Чапаевская СОШ-10,0, В-Биджинская СОШ-1,5, Чарковская СОШ-7,5) - 46,0;                                                                                                                                                            ^Конкурс "А ну-ка, девушки"- 34,0;                                                                                                                                                       ^Приобретение барабанов для парада на 9 мая - 260,3;                                                                                                                                                                                                                                </t>
  </si>
  <si>
    <t>^Проведение конкурса управленческих комад - 20,2;                                                                                                                                                     ^Проведение конкурса "Педагог дошкольного образования" - 30,3;                                                                                                               Августовская конференция - 37,1;                                                                                                                                                                                     День учителя - 15,0;                                                                                                                                                                              День дошкольного работника - 15,0.</t>
  </si>
  <si>
    <r>
      <rPr>
        <b/>
        <sz val="14"/>
        <color theme="1"/>
        <rFont val="Times New Roman"/>
        <family val="1"/>
        <charset val="204"/>
      </rPr>
      <t>5.Ежемесячное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- 26804,8 (ФБ) ^</t>
    </r>
    <r>
      <rPr>
        <sz val="14"/>
        <color theme="1"/>
        <rFont val="Times New Roman"/>
        <family val="1"/>
        <charset val="204"/>
      </rPr>
      <t xml:space="preserve">Субсидии на выполнения муниципального задания: из средств федерального бюджета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организаций.   </t>
    </r>
    <r>
      <rPr>
        <b/>
        <sz val="14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color rgb="FFFF0000"/>
        <rFont val="Times New Roman"/>
        <family val="1"/>
        <charset val="204"/>
      </rPr>
      <t xml:space="preserve">      </t>
    </r>
    <r>
      <rPr>
        <b/>
        <sz val="14"/>
        <color theme="1"/>
        <rFont val="Times New Roman"/>
        <family val="1"/>
        <charset val="204"/>
      </rPr>
      <t xml:space="preserve">                                                      </t>
    </r>
    <r>
      <rPr>
        <b/>
        <u/>
        <sz val="12"/>
        <color theme="1"/>
        <rFont val="Times New Roman"/>
        <family val="1"/>
        <charset val="204"/>
      </rPr>
      <t/>
    </r>
  </si>
  <si>
    <r>
      <rPr>
        <b/>
        <sz val="14"/>
        <color theme="1"/>
        <rFont val="Times New Roman"/>
        <family val="1"/>
        <charset val="204"/>
      </rPr>
      <t xml:space="preserve">6.Обеспечение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- 355263,5(РХ)   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^Субсидии на выполнения муниципального задания из средств республиканского бюджета: оплата труда-344879,5, услуги связи-100,7, прочие услуги-2327,6, приобретение основных средств-3759,3, приобретение мат.запасов - 4196,4.   </t>
    </r>
  </si>
  <si>
    <r>
      <rPr>
        <b/>
        <sz val="14"/>
        <color theme="1"/>
        <rFont val="Times New Roman"/>
        <family val="1"/>
        <charset val="204"/>
      </rPr>
      <t>10. Частичное погашение кредиторской задолженности -</t>
    </r>
    <r>
      <rPr>
        <sz val="14"/>
        <color theme="1"/>
        <rFont val="Times New Roman"/>
        <family val="1"/>
        <charset val="204"/>
      </rPr>
      <t>122,4, в том числе:</t>
    </r>
    <r>
      <rPr>
        <b/>
        <sz val="14"/>
        <color theme="1"/>
        <rFont val="Times New Roman"/>
        <family val="1"/>
        <charset val="204"/>
      </rPr>
      <t xml:space="preserve"> 120,0 (РХ), 2,4 (МБ)</t>
    </r>
    <r>
      <rPr>
        <sz val="14"/>
        <color theme="1"/>
        <rFont val="Times New Roman"/>
        <family val="1"/>
        <charset val="204"/>
      </rPr>
      <t xml:space="preserve"> (пени за несвоевременную оплату страховых взносов).</t>
    </r>
  </si>
  <si>
    <r>
      <rPr>
        <b/>
        <sz val="14"/>
        <color theme="1"/>
        <rFont val="Times New Roman"/>
        <family val="1"/>
        <charset val="204"/>
      </rPr>
      <t>8.Организация школьного питания</t>
    </r>
    <r>
      <rPr>
        <sz val="14"/>
        <color theme="1"/>
        <rFont val="Times New Roman"/>
        <family val="1"/>
        <charset val="204"/>
      </rPr>
      <t xml:space="preserve"> - 1865,5, из них:</t>
    </r>
    <r>
      <rPr>
        <b/>
        <sz val="14"/>
        <color theme="1"/>
        <rFont val="Times New Roman"/>
        <family val="1"/>
        <charset val="204"/>
      </rPr>
      <t xml:space="preserve"> 531,5 (МБ), 1334,1 (РХ) </t>
    </r>
    <r>
      <rPr>
        <sz val="14"/>
        <color theme="1"/>
        <rFont val="Times New Roman"/>
        <family val="1"/>
        <charset val="204"/>
      </rPr>
      <t xml:space="preserve"> (927 чел.)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color theme="1"/>
        <rFont val="Times New Roman"/>
        <family val="1"/>
        <charset val="204"/>
      </rPr>
      <t xml:space="preserve">9.Организация бесплатного горячего питания обучающихся, получающих начальное общее образование в  муниципальных образовательных организациях - </t>
    </r>
    <r>
      <rPr>
        <sz val="14"/>
        <color theme="1"/>
        <rFont val="Times New Roman"/>
        <family val="1"/>
        <charset val="204"/>
      </rPr>
      <t xml:space="preserve">16868,4, из них: </t>
    </r>
    <r>
      <rPr>
        <b/>
        <sz val="14"/>
        <color theme="1"/>
        <rFont val="Times New Roman"/>
        <family val="1"/>
        <charset val="204"/>
      </rPr>
      <t xml:space="preserve">168,7(МБ), 1670,0(РХ), 15029,7(ФБ).                                                                                                                                                                 </t>
    </r>
  </si>
  <si>
    <r>
      <rPr>
        <b/>
        <sz val="14"/>
        <color theme="1"/>
        <rFont val="Times New Roman"/>
        <family val="1"/>
        <charset val="204"/>
      </rPr>
      <t>Обеспечение условий развития сферы образования: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</t>
    </r>
    <r>
      <rPr>
        <b/>
        <sz val="14"/>
        <color theme="1"/>
        <rFont val="Times New Roman"/>
        <family val="1"/>
        <charset val="204"/>
      </rPr>
      <t>1.Органы местного самоуправления - 8349,2</t>
    </r>
    <r>
      <rPr>
        <sz val="14"/>
        <color theme="1"/>
        <rFont val="Times New Roman"/>
        <family val="1"/>
        <charset val="204"/>
      </rPr>
      <t xml:space="preserve">, из них: оплата труда-7236,0, услуги связи-41,9, услуги по сод.имущества-524,9, прочие услуги- 223,7, прочие расходы-25,8, приобретение основных средств-260,3, приобретение мат.запасов-36,6.                                                                                                                                                                                          </t>
    </r>
    <r>
      <rPr>
        <b/>
        <sz val="14"/>
        <color theme="1"/>
        <rFont val="Times New Roman"/>
        <family val="1"/>
        <charset val="204"/>
      </rPr>
      <t>2.Обеспечение деятельности подведомственных учреждений (Учебно-методические кабинеты, централизованные бухгалтерии, группы хозяйственного обслуживания) - 21336,6,</t>
    </r>
    <r>
      <rPr>
        <sz val="14"/>
        <color theme="1"/>
        <rFont val="Times New Roman"/>
        <family val="1"/>
        <charset val="204"/>
      </rPr>
      <t xml:space="preserve"> из них: оплата труда-18491,0, услуги связи-79,1, транспортные услуги-5,3, коммунальные услуги-311,3, аренда-35,0, услуги по сод.имущества- 577,9, прочие услуги-747,0, прочие расходы-38,3, приобретение основных средств-539,5, приобретение мат.запасов-512,2. </t>
    </r>
  </si>
  <si>
    <r>
      <rPr>
        <b/>
        <sz val="14"/>
        <color theme="1"/>
        <rFont val="Times New Roman"/>
        <family val="1"/>
        <charset val="204"/>
      </rPr>
      <t xml:space="preserve">Региональный проект Республики Хакасия «Цифровая образовательная среда»                                                                                                   1.Обеспечение образовательных организаций материально-технической базой для внедрения цифровой образовательной среды </t>
    </r>
    <r>
      <rPr>
        <sz val="14"/>
        <color theme="1"/>
        <rFont val="Times New Roman"/>
        <family val="1"/>
        <charset val="204"/>
      </rPr>
      <t xml:space="preserve">- 4223,6, из них: </t>
    </r>
    <r>
      <rPr>
        <b/>
        <sz val="14"/>
        <color theme="1"/>
        <rFont val="Times New Roman"/>
        <family val="1"/>
        <charset val="204"/>
      </rPr>
      <t xml:space="preserve">4139,6 (РФ); 41,8 (РХ); 42,2 (МБ)               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^Приобретение орг.техники: МБОУ "Московская СОШ им. А.П. Кыштымова"-361,0; МБОУ "Опытненская СОШ"-1931,3; МБОУ "Расцветская СОШ"-1931,3.                                                                                                                                          </t>
    </r>
    <r>
      <rPr>
        <b/>
        <sz val="14"/>
        <color theme="1"/>
        <rFont val="Times New Roman"/>
        <family val="1"/>
        <charset val="204"/>
      </rPr>
      <t>2.Реализация мероприятий по развитию общеобразовательных организаций (ЦОС) -</t>
    </r>
    <r>
      <rPr>
        <sz val="14"/>
        <color theme="1"/>
        <rFont val="Times New Roman"/>
        <family val="1"/>
        <charset val="204"/>
      </rPr>
      <t xml:space="preserve"> 3061,2, из них: </t>
    </r>
    <r>
      <rPr>
        <b/>
        <sz val="14"/>
        <color theme="1"/>
        <rFont val="Times New Roman"/>
        <family val="1"/>
        <charset val="204"/>
      </rPr>
      <t xml:space="preserve">3000,0 (РХ, 61,2 (МБ) 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^Ремонт кабинетов ЦОС и приобретение уч.мебели Опытненская СОШ-1020,4, Расцветская СОШ-1020,4, Московская СОШ-1020,4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color theme="1"/>
        <rFont val="Times New Roman"/>
        <family val="1"/>
        <charset val="204"/>
      </rPr>
      <t/>
    </r>
  </si>
  <si>
    <r>
      <t xml:space="preserve">Региональный проект Республики Хакасия «Успех каждого ребенка»                                                                           1.Создание в общеобразовательных организациях, расположенных в сельской местности, условий для занятий физической культурой и спортом </t>
    </r>
    <r>
      <rPr>
        <sz val="14"/>
        <color theme="1"/>
        <rFont val="Times New Roman"/>
        <family val="1"/>
        <charset val="204"/>
      </rPr>
      <t>- 3406,6, из них:</t>
    </r>
    <r>
      <rPr>
        <b/>
        <sz val="14"/>
        <color theme="1"/>
        <rFont val="Times New Roman"/>
        <family val="1"/>
        <charset val="204"/>
      </rPr>
      <t xml:space="preserve"> 3338,8(РФ), 33,7(РХ), 34,1(МБ) </t>
    </r>
    <r>
      <rPr>
        <sz val="14"/>
        <color theme="1"/>
        <rFont val="Times New Roman"/>
        <family val="1"/>
        <charset val="204"/>
      </rPr>
      <t xml:space="preserve">Капитальный ремонт спорт.зала и приобретение спорт.инвентаря Райковская СОШ-1703,3, В-Биджинская СОШ-1703,3.                                                                                                                                                                                                 </t>
    </r>
    <r>
      <rPr>
        <b/>
        <sz val="14"/>
        <color theme="1"/>
        <rFont val="Times New Roman"/>
        <family val="1"/>
        <charset val="204"/>
      </rPr>
      <t>2.Реализация мероприятий по развитию общеобразовательных организаций (спорт.зал</t>
    </r>
    <r>
      <rPr>
        <sz val="14"/>
        <color theme="1"/>
        <rFont val="Times New Roman"/>
        <family val="1"/>
        <charset val="204"/>
      </rPr>
      <t xml:space="preserve">) - 3059,0, из них: </t>
    </r>
    <r>
      <rPr>
        <b/>
        <sz val="14"/>
        <color theme="1"/>
        <rFont val="Times New Roman"/>
        <family val="1"/>
        <charset val="204"/>
      </rPr>
      <t>2997,9 (РХ), 61,2 (МБ)</t>
    </r>
    <r>
      <rPr>
        <sz val="14"/>
        <color theme="1"/>
        <rFont val="Times New Roman"/>
        <family val="1"/>
        <charset val="204"/>
      </rPr>
      <t xml:space="preserve"> Капитальный ремонт спорт.зала и приобретение спорт.инвентаря: В-Биджинская СОШ-1797,1, Райковская СОШ-1261,9</t>
    </r>
  </si>
  <si>
    <r>
      <rPr>
        <b/>
        <sz val="14"/>
        <rFont val="Times New Roman"/>
        <family val="1"/>
        <charset val="204"/>
      </rPr>
      <t>4.Создание условия для обеспечения современного качества образования - 1474,5,</t>
    </r>
    <r>
      <rPr>
        <sz val="14"/>
        <rFont val="Times New Roman"/>
        <family val="1"/>
        <charset val="204"/>
      </rPr>
      <t xml:space="preserve"> из них:                                                                                                                                           ^Ремонт освещения гаража ЦДО - 45,4;                                                                                                                                             ^Аккустика в актовый зал ЦДО - 81,6;                                                                                                                                              ^Орг.техника ЦДО - 214,2;                                                                                                                                                                         ^Учебная мебель ЦДО - 76,0;                                                                                                                                                                       ^Зап.части для картинга ЦДО - 120,1;                                                                                                                                                                            ^Монтаж эл.оборуд. ЦДО - 19,1;                                                                                                                                                                      ^Замена окон ЦДО - 843,7;                                                                                                                                                                                 ^Проверка качества огнезащитной обработки ЦДО - 3,5;                                                                                                                   ^Проведение интернета ЦДО - 25,2;                                                                                                                                                                                ^Организация палаточного лагеря "Вершина" - 45,7.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                           </t>
    </r>
  </si>
  <si>
    <r>
      <rPr>
        <b/>
        <sz val="14"/>
        <rFont val="Times New Roman"/>
        <family val="1"/>
        <charset val="204"/>
      </rPr>
      <t xml:space="preserve">Выявление и поддержка одаренных детей и талантливой молодежи:   </t>
    </r>
    <r>
      <rPr>
        <sz val="14"/>
        <rFont val="Times New Roman"/>
        <family val="1"/>
        <charset val="204"/>
      </rPr>
      <t xml:space="preserve">                                                                             </t>
    </r>
    <r>
      <rPr>
        <b/>
        <sz val="14"/>
        <rFont val="Times New Roman"/>
        <family val="1"/>
        <charset val="204"/>
      </rPr>
      <t>1.Создание условия для обеспечения современного качества образования - 113,4</t>
    </r>
    <r>
      <rPr>
        <sz val="14"/>
        <rFont val="Times New Roman"/>
        <family val="1"/>
        <charset val="204"/>
      </rPr>
      <t xml:space="preserve">, из них:                                                                       ^Конкурсы, праздники для школьников и дошкольников - 11,4;                                                                                                                                           ^Проезд победителя "Звезда спасения" - 7,5;                                                                                                                                              ^Поощрительные выплаты выпускникам-медалистам - 80,0;                                                                                                                          ^Награждение выпускников - 14,5.                                                                                                                                       </t>
    </r>
  </si>
  <si>
    <r>
      <rPr>
        <b/>
        <sz val="14"/>
        <rFont val="Times New Roman"/>
        <family val="1"/>
        <charset val="204"/>
      </rPr>
      <t xml:space="preserve">1.Поддержка и развитие систем коммунальной инфраструктуры: 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>1.1. Капитальный ремонт в муниципальных учреждениях, в том числе проектно-сметная документация - 893,84</t>
    </r>
    <r>
      <rPr>
        <sz val="14"/>
        <rFont val="Times New Roman"/>
        <family val="1"/>
        <charset val="204"/>
      </rPr>
      <t>, из них:                                                                                                                                                                                                  ^Капитальный ремонт ограждения санитарной зоны водозабора с.В-Биджа - 599,54;                                                                             ^Замена  узлов учета поднятой воды на водозаборах и скважинах, входящих в состав имущества МКП «ЖКХ Усть-Абаканского района» - 294,3.</t>
    </r>
  </si>
  <si>
    <r>
      <t xml:space="preserve">1.2.Поддержка и развитие систем коммунального комплекса в муниципальных образованиях Республики Хакасия - </t>
    </r>
    <r>
      <rPr>
        <sz val="14"/>
        <rFont val="Times New Roman"/>
        <family val="1"/>
        <charset val="204"/>
      </rPr>
      <t xml:space="preserve">1415,75, в том числе: </t>
    </r>
    <r>
      <rPr>
        <b/>
        <sz val="14"/>
        <rFont val="Times New Roman"/>
        <family val="1"/>
        <charset val="204"/>
      </rPr>
      <t xml:space="preserve">1387,43 (РХ), 28,31 (МБ):                                                                     </t>
    </r>
    <r>
      <rPr>
        <sz val="14"/>
        <rFont val="Times New Roman"/>
        <family val="1"/>
        <charset val="204"/>
      </rPr>
      <t xml:space="preserve">           ^Капитальный ремонт систем теплоснабжения Вершино-Биджинского сельсовета - 1265,75;                                                                                                                                                                                                                                                                                                         ^Разработка ПСД и проведение государственной экспертизы на предмет проверки достоверности определения сметной стоимости на строительство системы водоснабжения с. Зелёное - 150,0.                                                                                                                          </t>
    </r>
  </si>
  <si>
    <r>
      <rPr>
        <b/>
        <sz val="14"/>
        <rFont val="Times New Roman"/>
        <family val="1"/>
        <charset val="204"/>
      </rPr>
      <t>Функционирование модели персонифицированного финансирования дополнительного образования детей:                                                                                                                                                                                                                         1.Обеспечение функционирования модели персонифицированного финансирования (МБУДО «Усть-Абаканский ЦДО» - 2268,7,</t>
    </r>
    <r>
      <rPr>
        <sz val="14"/>
        <rFont val="Times New Roman"/>
        <family val="1"/>
        <charset val="204"/>
      </rPr>
      <t xml:space="preserve"> из них: Субсидии на выполнения муниципального задания (из средств МБ) - оплата труда</t>
    </r>
  </si>
  <si>
    <r>
      <rPr>
        <b/>
        <sz val="14"/>
        <rFont val="Times New Roman"/>
        <family val="1"/>
        <charset val="204"/>
      </rPr>
      <t>Развитие системы дополнительного образования детей: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>1.Обеспечение деятельности подведомственных учреждений (Центр дополнительного образования) - 10586,3,</t>
    </r>
    <r>
      <rPr>
        <sz val="14"/>
        <rFont val="Times New Roman"/>
        <family val="1"/>
        <charset val="204"/>
      </rPr>
      <t xml:space="preserve"> из них:оплата труда-10150,7, услуги связи-25,6, коммунальные услуги -158,2, услуги по сод.имущества - 67,2, прочие услуги-78,6, прочие расходы-1,1, приобретение основных средств- 33,4, приобретение мат.запасов-71,5.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>2.Обеспечение деятельности подведомственных учреждений (Усть-Абаканская ДШИ) - 10174,0</t>
    </r>
    <r>
      <rPr>
        <sz val="14"/>
        <rFont val="Times New Roman"/>
        <family val="1"/>
        <charset val="204"/>
      </rPr>
      <t xml:space="preserve">, из них: Расходы на выполнения муниципального задания из средств районного бюджета: оплата труда-9657,3, услуги связи-14,8, коммунальные услуги -394,5, услуи по содержанию имущества-24,6, прочие услуги-62,6,  увеличение стоимости основных средств-20,2.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>3.Обеспечение деятельности подведомственных учреждений (Усть-Абаканская СШ) - 17196,3,</t>
    </r>
    <r>
      <rPr>
        <sz val="14"/>
        <rFont val="Times New Roman"/>
        <family val="1"/>
        <charset val="204"/>
      </rPr>
      <t xml:space="preserve"> из них: Расходы на выполнения муниципального задания из средств районного бюджета: оплата труда-15878,6, услуги связи-19,4, коммунальные услуги-502,4, услуи по содержанию имущества-296,2, прочие услуги-79,0, прочие расходы-92,8, увеличение стоимости основных средств-60,1, увеличение стоимости материальных запасов-267,8.              </t>
    </r>
  </si>
  <si>
    <r>
      <rPr>
        <b/>
        <sz val="14"/>
        <rFont val="Times New Roman"/>
        <family val="1"/>
        <charset val="204"/>
      </rPr>
      <t>4. Создание условия для обеспечения современного качества образования - 43619,4</t>
    </r>
    <r>
      <rPr>
        <sz val="14"/>
        <rFont val="Times New Roman"/>
        <family val="1"/>
        <charset val="204"/>
      </rPr>
      <t xml:space="preserve">, </t>
    </r>
    <r>
      <rPr>
        <sz val="14"/>
        <color theme="1"/>
        <rFont val="Times New Roman"/>
        <family val="1"/>
        <charset val="204"/>
      </rPr>
      <t>в том числе:</t>
    </r>
    <r>
      <rPr>
        <b/>
        <sz val="14"/>
        <color theme="1"/>
        <rFont val="Times New Roman"/>
        <family val="1"/>
        <charset val="204"/>
      </rPr>
      <t xml:space="preserve">   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^Ремонт освещения, электрооборудования: (Московская СОШ) - 1422,0;                                                                                                          ^Обучение пож-тех минимум (Усть-Абаканская СОШ) - 3,0;                                                                                                                                                                                                                                                                     ^Замена окон, дверей (У-Бюрская СОШ-43,9, Солнечная СОШ-347,2, Красноозерная ООШ-392,1, Расцветская СОШ-500,0, Опытненская СОШ-234,</t>
    </r>
    <r>
      <rPr>
        <sz val="14"/>
        <rFont val="Times New Roman"/>
        <family val="1"/>
        <charset val="204"/>
      </rPr>
      <t>7</t>
    </r>
    <r>
      <rPr>
        <sz val="14"/>
        <color theme="1"/>
        <rFont val="Times New Roman"/>
        <family val="1"/>
        <charset val="204"/>
      </rPr>
      <t xml:space="preserve">, Доможаковская СОШ-390,2, У-А СОШ-1095,6) - 3003,7;                                                                                                                                                                              ^Санитарная безопасность: приобретение оборудования и инвентаря для медицинских кабинетов: (Усть-Абаканская СОШ-90,0 (облуч), У-Бюрская СОШ-84,0 (облуч), В-Биджинская СОШ-644,8, Расцветская СОШ-654,8, Райковская СОШ-313,2, Доможаковская СОШ-108,8, Сапоговская СОШ-174,5, Калининская СОШ-4,7, Росток-226,6, Солнечная СОШ-265,4, Весенненская СОШ-583,9, ОШИ-91,9, Чарковская СОШИ-264,4) - 3507,0;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rFont val="Times New Roman"/>
        <family val="1"/>
        <charset val="204"/>
      </rPr>
      <t>^Санитарная безопасность: приобретение оборудования и инвентаря для пищеблоков: (Усть-Абаканская СОШ-673,8, Росток-120,0, У-Бюрская СОШ-17,0, ОШИ-97,0, Калининская СОШ-129,0, Райковская СОШ-183,2, Доможаковская СОШ-59,3, В-Биджинская СОШ-72,6(сад)) - 1351,9;                                                                                                                                                                                  ^Приобретение школьной мебели (ОШИ-125,0, Красноозерная ООШ-148,9, Солнечная СОШ-124,2, Опытненская СОШ-169,6, Московская СОШ-34,0) - 601,7;                                                                                                                                                                             ^Приобретение макета пнев.оружия (Усть-Абаканская СОШ) - 38,0;</t>
    </r>
    <r>
      <rPr>
        <sz val="14"/>
        <color rgb="FFFF0000"/>
        <rFont val="Times New Roman"/>
        <family val="1"/>
        <charset val="204"/>
      </rPr>
      <t xml:space="preserve">  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^Ремонт кровли: (Сапоговская СОШ-266,0 (козырьки), У-Бюрская СОШ-920,9, Красноозерная ООШ-2280,5) - 3467,4;                                                                                                                                                                                                   ^Приобретение жалюзи: (Доможаковская СОШ-96,2, Сапоговская СОШ-34,2, Усть-Абаканская СОШ-134,6) - 265,0;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color theme="1"/>
        <rFont val="Times New Roman"/>
        <family val="1"/>
        <charset val="204"/>
      </rPr>
      <t/>
    </r>
  </si>
  <si>
    <t xml:space="preserve">^Приобретение мебели в группу д/с: (Усть-Бюрская СОШ-17,0, Сапоговская СОШ-40,0, Солнечная СОШ-50,0, В-Биджинская СОШ-591,2) - 698,2;                                                                                                                                                                                                              ^Приобретение стир.машины в сад (Райковская СОШ) - 46,2;                                                                                                                               ^Аккуст.в акт.зал (У-Абаканская СОШ) -151,0;                                                                                                                                                                                                                                       ^Ремонт помещений (Солнечная СОШ-542,1, В-Биджинская СОШ-5040,9, Расцветская СОШ-560,4(мед.каб), Красноозерная ООШ-248,7 (прачка), Калининская СОШ-583,3 (пищ.блок), Чарковская СОШИ-576,8 (пищ.блок), ОШИ-411,0, Росток-591,5 (пищ.блок), У-Абаканская СОШ-2422,6, Московская СОШ-1327,2 (пищ.блок), Опытненская СОШ-418,5, Весенненская СОШ-74,9) - 12797,9;                                                                                                                                              ^Ремонт отопления (Усть-Абаканская СОШ) - 262,5;                                                                                                                                       ^Ремонт котельной (Сапоговская СОШ) - 145,4;                                                                                                                        ^Ремонт вентиляции (Росток) - 163,0;                                                                                                                                                        ^Оценка технического состояния здания (Красноозерная ООШ) - 199,0;                                                                                                   ^ПСД на АУПС (Весенненская СОШ-45,8, Сапоговская СОШ-129,6, Московская СОШ-135,9) - 311,3;                                                                                                                                                            ^Монтаж, дооборуд. АУПС (Сапоговская СОШ-1362,1, У-Бюрская СОШ-37,3, Весенненская СОШ-138,2) - 1537,6;                                                                                                                                                                                                                                                                                                                                                                             ^Ремонт системы холодного водоснабжения, канализации (Чапаевская СОШ-242,4, Сапоговская СОШ-1024,8, У-А СОШ-255,4, В-Биджинская СОШ-28,1, Солнечная СОШ-142,0) - 1692,7;                                                                                                                                                                                                                                   </t>
  </si>
  <si>
    <t xml:space="preserve">^Локально-вычислительная сеть (Красноозерная ООШ-115,6, В-Биджинская СОШ-149,8) - 265,4;                                                                                                                                                                                  ^Ремонт ограждения: (Сапоговская СОШ) - 586,3;                                                                                                                                           ^Установка противожарных дверей, люков: (Опытненская СОШ-106,0, Сапоговская СОШ-134,0, Расцветская СОШ-128,0, Московская СОШ-30,0, Весенненская СОШ-67,0, Солнечная СОШ-77,5) - 542,5;                                                                                                                                                                                                                                                                                                                                                                                                                                                                                                                                                                                                                                                                                                                                                                                                                                                                                                                                                                                                                                                                                                                                                                                                                               ^Приобретение мебели в столовую: (Калининская СОШ-50,5, Опытненская СОШ-70,0; Красноозерная ООШ-29,9) - 150,4;                                                                                                                                                                                                                               ^Огнезащитная обработка: (Опытненская СОШ-23,3, Весенненская СОШ-42,9, Райковская СОШ-7,0, Чапаевская СОШ-38,5, У-А-29,4, Калининская СОШ-21,6) - 162,7;                                                                                                                                                                                     ^Проверка качества огнезащитной обработки (Усть-Абаканская СОШ-32,0, Опытненская СОШ-4,0, ОШИ-4,0, В-Биджинская СОШ-7,0, Солнечная СОШ-12,0, Калининская СОШ-7,0, Чарковская СОШ-10,0, Сапоговская СОШ-4,0) - 80,0;                                                                                                                                                                                                               ^Приобретение огнетушителей и против.знаков, ГДЗК, пож.рукавов (Райковская СОШ-1,7, Усть-Абаканская СОШ-18,8, У-Бюрская СОШ-6,3, Весенненская СОШ-5,7, Калининская СОШ-2,2, ОШИ-0,9) - 35,6;                                                                                                                                                                   ^Приобретение клас.досок: (Калининская СОШ-51,5, Доможаковская СОШ-34,0) - 85,5;                                                ^Приобретение орг.техники: (Калининская СОШ-168,6, ОШИ-106,2, Сапоговская СОШ-330,0, В-Биджинская СОШ-220,0, Московская СОШ-220,0, Доможаковская СОШ-234,1, Солнечная СОШ-220,0, Росток-360,0, Райковская СОШ-313,3, Опытненская СОШ-253,3, Расцветская СОШ-110,0, Чарковская СОШИ-220,0, Усть-Абаканская СОШ-626,4, Весенненская СОШ-220,0, У-Бюрская СОШ-200,0, Красноозерная ООШ-504,3, Чапаевская СОШ-110,0) - 4416,2;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</si>
  <si>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^Приобрет.спорт.инвентаря (Росток) - 30,0;                                                                                                                                                                                 ^Приобретение стендов (Калининская СОШ) - 23,7;                                                                                                                   ^Приобретение канц.товаров (У-Бюрская СОШ) - 10,0;                                                                                                                                                       ^Приобретение квадрокопта (Солнечная СОШ) - 9,5;                                                                                                             ^Приобретение линолеума (У-Абаканская СОШ) - 10,0;                                                                                                                                         ^Приобретение мяг.инвентаря для новой группы (В-Биджинская СОШ) - 102,8;                                                                                             ^Ремонт фасада (У-Абаканская СОШ 2 кор) - 3254,5;                                                                                                                                                                                                ^Ремонт, дооборуд. видеонаблюдения (В-Биджинская СОШ) - 400,7;                                                                                                  ^Проект и акт на скважину (Сапоговская СОШ) - 116,0;                                                                                                                          ^Устройство покрытия из брусчатки (Сапоговская СОШ) - 1089,5;                                                                                                                   ^Обучение кочегаров (У-Бюрская СОШ-3,6, Чапаевская СОШ-18,0, Чарковская СОШ-3,6, Сапоговская СОШ-14,4) - 39,6;</t>
  </si>
  <si>
    <r>
      <rPr>
        <b/>
        <sz val="14"/>
        <rFont val="Times New Roman"/>
        <family val="1"/>
        <charset val="204"/>
      </rPr>
      <t>Мероприятия, направленные на патриотическое воспитание граждан - 149,4</t>
    </r>
    <r>
      <rPr>
        <sz val="14"/>
        <rFont val="Times New Roman"/>
        <family val="1"/>
        <charset val="204"/>
      </rPr>
      <t xml:space="preserve">, из них:                                                                                                                                                              1."Юный зарничник" - 6,0;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 Первенство по пулевой стрельбе - 3,0;                                                                                                                                                                3. "А, ну-ка, девушки" - 2,0;                                                                                                                                                                                        4. Военно-полевые сборы - 34,0;                                                                                                                                                                                 5. Районный фестваль-конкурс Воено-патриотической песни «Она звучит не умирая» (оформление, награждение) - 20,0;                                                                                                                                                                                                              6. "И помнит мир спасенный" - 5,0;                                                                                                                                                                                           7. "Георгиевская ленточка" - 6,0;                                                                                                                                                                                  8. "Я люблю тебя, Россия!" - 1,0;                                                                                                                                                                                      9. Районная дистанционная образовательная олимпиада "Герои ВОВ" - 2,0;                                                                                                                                                   10. "Юные таланты Отчизны" - 1,0;                                                                                                                                                                                                                                           11. Награждения на мероприятиях патриотической направленности - 16,0;                                                                                                                                                                                          12. "Зарница" - 1,0;                                                                                                                                                                                                                 13. "Туриада-2022" - 4,0;                                                                                                                                                                                                       14. Соревнования по картингу - 4,0;                                                                                                                                                                          15. Открытый районный турнир по скоростной сборке радиоаппаратуры - 1,0;                                                                                                            16. Палаточный лагерь "Вершина" - 15,0;                                                                                                                                                                                                                                                                                                                                                                                                                      17. Районная спартакиада молодежи допризывного возраста - 19,3;                                                                                                                  18. Остаток на счете на конец квартала - 9,1                                                                                                                                                              </t>
    </r>
  </si>
  <si>
    <r>
      <rPr>
        <b/>
        <sz val="14"/>
        <rFont val="Times New Roman"/>
        <family val="1"/>
        <charset val="204"/>
      </rPr>
      <t>2.Капитальный ремонт в муниципальных учреждениях, в том числе проектно-сметная документация - 3736,1,</t>
    </r>
    <r>
      <rPr>
        <sz val="14"/>
        <rFont val="Times New Roman"/>
        <family val="1"/>
        <charset val="204"/>
      </rPr>
      <t xml:space="preserve"> из них:                                                                                                                                                                                                                                     ^Проверка сметной документации на капитальный ремонт д/с Ромашка - 36,8;                                                                                                      ^ПСД на капитальный ремонт кровли д/с Аленушка - 178,6;                                                                                                                    ^Капитальный ремонт эвакуационных выходов д/с Ромашка - 206,1;                                                                                                       ^Капитальный ремонт помещений д/с Ромашка - 509,5;                                                                                                                                                                      ^Капитальный ремонт кровли д/с Аленушка - 2805,1.</t>
    </r>
  </si>
  <si>
    <r>
      <rPr>
        <b/>
        <sz val="14"/>
        <color theme="1"/>
        <rFont val="Times New Roman"/>
        <family val="1"/>
        <charset val="204"/>
      </rPr>
      <t>Мероприятия по профилактике злоупотребления наркотиками и их незаконного оборота</t>
    </r>
    <r>
      <rPr>
        <sz val="14"/>
        <color theme="1"/>
        <rFont val="Times New Roman"/>
        <family val="1"/>
        <charset val="204"/>
      </rPr>
      <t xml:space="preserve"> -</t>
    </r>
    <r>
      <rPr>
        <b/>
        <sz val="14"/>
        <color theme="1"/>
        <rFont val="Times New Roman"/>
        <family val="1"/>
        <charset val="204"/>
      </rPr>
      <t xml:space="preserve"> 6,1,</t>
    </r>
    <r>
      <rPr>
        <sz val="14"/>
        <color theme="1"/>
        <rFont val="Times New Roman"/>
        <family val="1"/>
        <charset val="204"/>
      </rPr>
      <t xml:space="preserve"> из них: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rFont val="Times New Roman"/>
        <family val="1"/>
        <charset val="204"/>
      </rPr>
      <t>^Мероприятия по профилактике асоциального поведения несовершеннолетних - 0,1 (КЗ 2021г за ГСМ);                                              ^В июне прошла районная антинаркотическая акция «Жизнь без наркотиков» в рамках проекта «Усть-Абаканский район без наркотиков» с охватом 786 человек. Приобретены призы (спортивный инвентарь) - 3,0;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^В течении апреля на территориях с.Московское, с.Калинино, аал Райков и п.Усть-Абакан была проведена акция «Здоровая Россия-общее дело», в рамках акции проведено 8 мероприятий, участвовало 21 команда (200 человек). Приобретены медали для победителей и призеров) - 3,0.                                                                                                                                                                  </t>
    </r>
  </si>
  <si>
    <r>
      <rPr>
        <b/>
        <sz val="14"/>
        <rFont val="Times New Roman"/>
        <family val="1"/>
        <charset val="204"/>
      </rPr>
      <t>2. Мероприятия по поддержке и развитию культуры, искусства и архивного дела - 1751,7,</t>
    </r>
    <r>
      <rPr>
        <sz val="14"/>
        <rFont val="Times New Roman"/>
        <family val="1"/>
        <charset val="204"/>
      </rPr>
      <t xml:space="preserve"> в том числе:                                                                                                                                                                                                                                                                                                                                                                                 1. Районный конкурс художественного чтения и творчества поэтов любителей «Несу Родину в душе» - 18,0;                                                                                                                                                                                               2. Ремонт кабинета ДК Гагарино - 559,25;                                                                                                                                                             3. Концертная программа, посвященная международному женскому дню 8 марта 2022 г. - 15,4;                                                                                4. Праздник «Масленница Великая» - 15,0;                                                                                                                                                                                                5. Игровая программа, посвященная 23 февраля - 7,5;                                                                                                                                          6. Концертная программа «Женское счастье» - 10,0;                                                                                                                                                           7. День работника ЖКХ - 26,4;                                                                                                                                                                                      8. День работника культуры - 15,0;                                                                                                                                                                                              9. Районный конкурс к международному женскому дню «Маленькая мисс 2022» - 12,0;                                                                                                        10. Орг.взнос за участие в фестивале «Созвездие улыбок» - 7,4;                                                                                                                           11. Онлайн-проект «Звездные семьи Усть-Абаканского района» - 1,0;                                                                                                                                   12. Участие в семинаре работников культуры - 11,25;                                                                                                                                        13. Участие в Международном фестивале-конкурсе «Алтайская легенда» Образцовой хореографической студии «Радуга» - 24,4;                                                                                                                                                                                                                      14. Районный конкурс «Здоровым быть модно» - 8,3;                                                                                                                                                            15. Акция по пропаганде ЗОЖ «День здоровья» - 10,34;                                                                                                                                             16. Тематическая выставка «Нам жить и помнить» - 5,75;                                                                                                                                                 17. Акция открытый микрофон - 14,35;                                                                                                                                                                               18. Мероприятия, посвященные 77-й годовщине ВОВ - 271,16;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</si>
  <si>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19. Торжественный концерт «Минувших лет святая память» - 20,2;                                                                                                                                               20. Концерт, посвященный Дню местного самоуправления» - 71,2;                                                                                                                                                 21. Конкурс художественного чтения среди детей «Поэтическая весна» - 8,1;                                                                                                                         22. Юбилейный концерт Народного хора ветеранов «Жизнь как песня: задорная русская!» - 45,1;                                                                                                                    23. Проведение мероприятия «Российский азимут-2022» - 9,4;                                                                                                                                                         24. Концерт «Сердце моё Россия» - 11,4;                                                                                                                                                                                                         25. Онлайн-конкурс «Звонкое чудо-частушка» - 6,0;                                                                                                                                                                       26. Мероприятие, посвященное Дню медицинского работника - 49,6;                                                                                                                       27. Ремонт электрооборудования МБУ "РДК Дружба" - 151,6;                                                                                                                                              28. День семьи, любви и верности - 10,5;                                                                                                                                                                      29. Выездные мероприятия ст.Тигей, ст.Хоных, п.Ташеба - 9,0;                                                                                                                                                  30. Акция «Целый мир-жаркое лето» - 5,0;                                                                                                                                                                             31. Ярмарка Дружный бизнес Хакасии - 5,15;                                                                                                                                                                                     32. Торжественное награждение волонтеров и организаторов фестиваля выпускников «Под алым парусом Хакасии» - 20,0;                                                                                                                                                                                                                33. Ремонт водоснабжения РДК «Дружба» - 45,27;                                                                                                                                                                                       34. Закрытие Юнармейской смены в оз «Дружба» - 7,0;                                                                                                                                                                             35. Выездные мероприятия День сел - 150,7;                                                                                                                                                                            36. Празднование Дня Лошади - 13,28;                                                                                                                                                                                      37. Открытие ФАПа  аал.Чарки- 10,0;                                                                                                                                                                                </t>
  </si>
  <si>
    <t>38. Мероприятие, посвященное 15-ти летию МАУК Салбык - 15,7;                                                                                                                                                                            39. Остаток на счете - 55,0.</t>
  </si>
  <si>
    <r>
      <rPr>
        <b/>
        <sz val="14"/>
        <rFont val="Times New Roman"/>
        <family val="1"/>
        <charset val="204"/>
      </rPr>
      <t>3.Капитальный ремонт в муниципальных учреждениях, в том числе проектно-сметная документация - 2275,3,</t>
    </r>
    <r>
      <rPr>
        <sz val="14"/>
        <rFont val="Times New Roman"/>
        <family val="1"/>
        <charset val="204"/>
      </rPr>
      <t xml:space="preserve"> в том числе:                                                                                                                                                                                                                      1. Разработка ПСД на капитальный ремонт Автоматической установки пожарной сигнализации и системы оповещения - 46,2;                                                                                                                                                                                           2. Капитальный ремонт отопления фойе - 215,4;                                                                                                                                                 3. Капитальный ремонт пожарного водопровода - 212,9;                                                                                                                                           4. Проверка сметной документации на кап.ремонт здания РДК "Дружба" - 99,5;                                                                                                                                     5. Капитальный ремонт стен, полов и потолков МБУ РДК «Дружба» - 1701,3.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</si>
  <si>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4"/>
        <rFont val="Times New Roman"/>
        <family val="1"/>
        <charset val="204"/>
      </rPr>
      <t xml:space="preserve">4.Укрепление материально-технической базы - 1350,4, </t>
    </r>
    <r>
      <rPr>
        <sz val="14"/>
        <rFont val="Times New Roman"/>
        <family val="1"/>
        <charset val="204"/>
      </rPr>
      <t>в том числе:                                                                                                    1. Карта памяти, видеокамера, штатив, планшет -244,1;                                                                                                                                                       2. Диваны, стулья, табуреты, столы, зеркала - 213,6;                                                                                                                                                             3. Приобретение компьютера в сборе, МФУ - 147,4;                                                                                                                                   4. Стеллажи, комп.техника (РДК) - 435,3;                                                                                                                                               5. Квадрокоптер - 310,0.</t>
    </r>
  </si>
  <si>
    <r>
      <rPr>
        <b/>
        <sz val="14"/>
        <rFont val="Times New Roman"/>
        <family val="1"/>
        <charset val="204"/>
      </rPr>
      <t>Обеспечение развития отрасли культуры</t>
    </r>
    <r>
      <rPr>
        <sz val="14"/>
        <rFont val="Times New Roman"/>
        <family val="1"/>
        <charset val="204"/>
      </rPr>
      <t xml:space="preserve">: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>1. Обеспечение деятельности подведомственных учреждений (РДК Дружба, ДК им.Гагарина) - 13790,0,</t>
    </r>
    <r>
      <rPr>
        <sz val="14"/>
        <rFont val="Times New Roman"/>
        <family val="1"/>
        <charset val="204"/>
      </rPr>
      <t xml:space="preserve"> в том числе: Заработная плата - 8862,3; Начисления на выплаты по оплате труда - 2390,5; Услуги связи - 74,7; Коммунальные услуги - 1166,6; Работы, услуги по содержанию имущества - 260,4; Прочие работы, услуги - 284,5; Увеличение стоимости основных средств - 90,7; Увеличение стоимости ГСМ - 258,4; Увеличение стоимости строит.материалов - 32,7; Увеличение стоимости прочих оборотных запасов - 119,9 (канц. и хоз.товары); Прочие расходы - 243,8; Страхование - 5,5.                                                                                                                                                                   </t>
    </r>
  </si>
  <si>
    <r>
      <t>2.Мероприятия по поддержке и развитию культуры, искусства и архивного дела - 1532,7,</t>
    </r>
    <r>
      <rPr>
        <sz val="14"/>
        <rFont val="Times New Roman"/>
        <family val="1"/>
        <charset val="204"/>
      </rPr>
      <t xml:space="preserve"> в том числе:                                                                                                                                                                                                                                                             1. Приобретение стеллажей - 168,6;                                                                                                                                                                         2. Изготовление дизайн-проекта В-Биджинской библиотеки - 300,0;                                                                                                                          3. Открытие центра доступа в Весенненской библиотеке (приобретение мониторов, МФУ) - 100,8;                                                                     4. Повышение проф.уровня библиотечных работников - 30,5;                                                                                                                                   5. Приобретение биб.техники - 20,0;                                                                                                                                                                            6. Подключение лицензии ЛитРес- 35,0;                                                                                                                                                                       7. Комплектование литературой - 415,0;                                                                                                                                                                                        8. Приобретение сист.блоков, столов, стульев, муз.центра - 120,05;                                                                                                                                                                                                             9. Проведение мероприятий, направленных на популяризацию чтения в Усть-Абаканском районе - 10,2 (Открытие недели детской и юношеской книги «Книжный карнавал» - 2,4, конкурс работа клубов по интересам «Библиотечный меридиан» - 1,6, Чемпионат по чтению вслух среди старшеклассников «Страница 22» - 1,0, День открытых дверей - 5,2);                                                                                                                                                                                                                                                                                10. Летняя программа чтение - 1,9;                                                                                                                                                                                                                                                                                11. Юбилей в кругу друзей 45 лет библиотеки п.Тепличный - 8,1;                                                                                                                                                                                 12. Формирование 19 детских кружков по интересам в летний период - 5,0;                                                                                                                       13. Проведение праздника «Маленькие дети на большой планете - 2,0;                                                                                                                        14. Интеллектуальная игра «Чемпионат читателей» - 0,75. 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</t>
    </r>
  </si>
  <si>
    <t>15. Юбилей библиотеки филиал № 2  - 9,9;                                                                                                                                                                  16. День села Зеленое проведение мастер-класса - 1,4;                                                                                                                                                                               17.Мастер класс художественное оформление камня на мероприятии «Дружный бизнес Хакасии» - 3,8;                                                                                           18. Библиотечное оборудование (кресла, банкетки, стулья, столы и принтер МФУ) - 99,2;                                                                                                                         19 Мастер классы «День села Райков», праздник «День Лошади» - 13,5;                                                                                                                                            20. Монтаж освещения и розеток - 100,0;                                                                                                                                                                                   Остаток на счете - 87,0.</t>
  </si>
  <si>
    <r>
      <t xml:space="preserve">3. Обеспечение услугами связи в части предоставления широкополосного доступа к сети «Интернет» социально значимых объектов муниципальных образований </t>
    </r>
    <r>
      <rPr>
        <sz val="14"/>
        <rFont val="Times New Roman"/>
        <family val="1"/>
        <charset val="204"/>
      </rPr>
      <t>- 308,5, из них:</t>
    </r>
    <r>
      <rPr>
        <b/>
        <sz val="14"/>
        <rFont val="Times New Roman"/>
        <family val="1"/>
        <charset val="204"/>
      </rPr>
      <t xml:space="preserve"> 6,2 (МБ), 302,3 (РХ) </t>
    </r>
    <r>
      <rPr>
        <sz val="14"/>
        <rFont val="Times New Roman"/>
        <family val="1"/>
        <charset val="204"/>
      </rPr>
      <t>Предоставление широкополостного доступа к сети интернет 13-ти филиалам МБУК «Усть-Абаканская ЦБС».</t>
    </r>
  </si>
  <si>
    <r>
      <t xml:space="preserve">Сохранение культурных ценностей:
1.Обеспечение деятельности подведомственных учреждений МБУК «Усть-Абаканский районный историко-краеведческий музей» - 2885,6, </t>
    </r>
    <r>
      <rPr>
        <sz val="14"/>
        <rFont val="Times New Roman"/>
        <family val="1"/>
        <charset val="204"/>
      </rPr>
      <t xml:space="preserve">в том числе: Заработная плата - 1446,0; Начисления на выплаты по оплате труда - 406,7; Услуги связи - 22,8; Коммунальные услуги - 141,1; Услуги по содержанию имущества - 153,7; Прочие работы, услуги - 129,7; Страхование - 26,0; Увеличение стоимости прочих оборотных запасов (материалов) - 80,2; Увеличение стоимости ГСМ - 99,2; Увеличение стоимости строительных материалов - 111,2; Увеличение стоимости медикаментов и перевязочных средств - 0,8; Прочие расходы - 125,0; Увеличение стоимости основных средств - 143,2.     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</si>
  <si>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2.Мероприятия по поддержке и развитию культуры, искусства и архивного дела - 3733,9:                                                       </t>
    </r>
    <r>
      <rPr>
        <sz val="14"/>
        <rFont val="Times New Roman"/>
        <family val="1"/>
        <charset val="204"/>
      </rPr>
      <t xml:space="preserve">1. Конкурс «Новогодняя сказка» - 2,7;                                                                                                                                                                                      2. Мероприятие «Этот старый Новый год» - 3,3;                                                                                                                                                             3. Фотоконкурс «Креативная Елка-2022» - 5,0;                                                                                                                                                                  4.Конкурс детских рисунков «Дед Мороз и Снегурочка» - 4,8;                                                                                                                              5. Онлайн-тест «Блокада Ленинграда» - 1,65;                                                                                                                                                                                6. Онлайн-конкурс видеопоздравлений, посвященный Татьяниному Дню - 1,65;                                                                                                                        7. Укрепление МТБ (МФУ струйный, садовый измельчитель, мойка) - 296,2;                                                                                                                                                                                  8. Мероприятие, посвященное памяти о росссиянах, исполнявщших служебный долг за пределами Отечества - 7,0;                                                                                                                                                                                                                                              9. Мероприятие, посвященное 303 годовщине вывода войск из Афганистана - 7,5;                                                                                                                                                                                                                         10. Районный конкурс «Подарок к 8 марта» - 3,25;                                                                                                                                                                                                                                11. Мероприятие «Наша масленница широка и весела» - 2,95;                                                                                                                  12. Приобретение сенсорного стола - 314,0;                                                                                                                                                       13. День космонавтики - 4,9;                                                                                                                                                                                                            14. Изготовление трибуны к 9 мая - 120,0;                                                                                                                                                                                 15. Возложение цветов к могиле Неизвестного солдата в рамках проведения Республиканского автопробега - 34,0;                                                                                                                                                                                                                    16.Приобретение принтера - 100,0;                                                                                                                                                                          17.Оформление мемориала к 9 мая (флаги) - 14,3;                                                                                                                                                              18. Оформление клумбы «Звезда» - 5,0;                                                                                                                                                                                     </t>
    </r>
  </si>
  <si>
    <r>
      <t xml:space="preserve">3. Обеспечение безопасности музейного фонда и развитие музеев - 178,9,                                                                                                                         </t>
    </r>
    <r>
      <rPr>
        <sz val="14"/>
        <rFont val="Times New Roman"/>
        <family val="1"/>
        <charset val="204"/>
      </rPr>
      <t>1. Мероприятие «Чыл-Пазы» - 29,5;                                                                                                                                                                                                                  2. Приобретение национального костюма (платье женское, сигидек, гол.убор) - 25,0;                                                                                             3. Ветровки с символикой - 15,0;                                                                                                                                                                             4. Дезинсекция (клещи) - 70,3;                                                                                                                                                                                       5. Опашка территории - 11,2;                                                                                                                                                            6.Ожившая история Долины Царей (проведение обряда, мастер-классы, дегустация напитков) - 27,9</t>
    </r>
  </si>
  <si>
    <r>
      <t>Развитие архивного дела:                                                                                                                                                                                                       1. Мероприятия по поддержке и развитию культуры, искусства и архивного дела - 29,0</t>
    </r>
    <r>
      <rPr>
        <sz val="14"/>
        <rFont val="Times New Roman"/>
        <family val="1"/>
        <charset val="204"/>
      </rPr>
      <t xml:space="preserve">, в том числе: Приобретение стеллажей - 16,3, стремянок - 12,7.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</t>
    </r>
  </si>
  <si>
    <r>
      <t>Совершенствование библиотечной деятельности</t>
    </r>
    <r>
      <rPr>
        <sz val="14"/>
        <rFont val="Times New Roman"/>
        <family val="1"/>
        <charset val="204"/>
      </rPr>
      <t xml:space="preserve">:       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1.Обеспечение деятельности подведомственных учреждений (МБУК «Усть-Абаканская ЦБС») - 19940,1</t>
    </r>
    <r>
      <rPr>
        <sz val="14"/>
        <rFont val="Times New Roman"/>
        <family val="1"/>
        <charset val="204"/>
      </rPr>
      <t>, в том числе: Заработная плата - 14460,4; Начисления на выплаты по оплате труда - 4110,3; Услуги связи - 142,4; Коммунальные услуги - 646,5; Услуги по содержанию имущества - 120,4; Прочие работы, услуги - 149,6; Увеличение стоимости прочих оборотных запасов (материалов) - 67,6; Увеличение стоимости основных средств - 5,2; Приобретение угля - 30,6; Транспортные услуги - 5,2; Прочие расходы - 10,8; Увеличение стоимости строительных материалов - 191,1.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</t>
    </r>
  </si>
  <si>
    <r>
      <rPr>
        <b/>
        <sz val="14"/>
        <rFont val="Times New Roman"/>
        <family val="1"/>
        <charset val="204"/>
      </rPr>
      <t>Поддержка одаренных детей и молодежи:                                                                                                                                                     1.Мероприятия по поддержке и развитию культуры, искусства и архивного дела - 352,2</t>
    </r>
    <r>
      <rPr>
        <sz val="14"/>
        <rFont val="Times New Roman"/>
        <family val="1"/>
        <charset val="204"/>
      </rPr>
      <t xml:space="preserve">, из них:                                                                              1. Приобретение музыкальных инструментов: гусли, малый барабан - 18,8;                                                                                                                                 2. Народные костюмы для мальчиков и девочек - 141,0;                                                                                                                           3. Туфли народные черные, сапоги народные - 67,9;                                                                                                                     4. Костюм, сапоги, платки, комплект к танцу - 124,5.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/>
    </r>
  </si>
  <si>
    <r>
      <rPr>
        <b/>
        <sz val="14"/>
        <rFont val="Times New Roman"/>
        <family val="1"/>
        <charset val="204"/>
      </rPr>
      <t xml:space="preserve">Развитие и поддержка народного творчества:                                                                                                                                                                                                                                              1.Мероприятия по поддержке и развитию культуры, искусства и архивного дела - 428,6:         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1. Конкурс рисунков ко Дню защитника Отечества - 14,2;                                                                                                                                  2. Выставка-конкурс мастеров ДПТ «Волшебные нити» - 7,0;                                                                                                                      3. Районный конкурс ДПИ «Броня крепка и танки наши быстры» - 5,0;                                                                                                                     4. Конкурс для девочек «На балу у Золушки» - 10,0;                                                                                                                                                  5. Районный фестиваль работников культуры «Звезда культуры» - 30,0;                                                                                                                                                                  6. Выставка-конкурс ДПТ «Мир спичек» - 4,0;                                                                                                                                                              7. Районный фотоконкурс «Что такое счастье» - 2,1;                                                                                                                                                 8. Районный фотоконкурс «Женщины могут все» - 5,4;                                                                                                                                       9. Конкурс ДПИ кукла в национальном костюме - 6,6;                                                                                                                                                                                                                                                                                               10. Мероприятия в рамках проекта «Лето, солнце, 100 фантазий» - 15,0;                                                                                                                                   11. Проект «Вышитая карта Хакасии» - 2,7;                                                                                                                                                                           12. Конкурс художественного чтения «Поэтическая весна» - 8,1;                                                                                                                                          13. Мероприятия, посвященные Дню России в поселениях - 11,5;                                                                                                                                      14. Онлайн-проект «Звездные семьи Усть-Абаканского района» - 0,9;                                                                                                                                                 15. Проведение концерта для выпускников Усть-Абаканского района - 29,3;                                                                                                                              16. Праздничный концерт, посвященный 90-летию Пожарной охраны - 20,4;                                                                                                       17. Районный праздник Чир-Ине - 12,5;                                                                                                                                                            18. Участие в Межрегиональном конкурсе русского танца» Сибирское раздолье» - 5,0;                                                                                                    19.Проведение выездных мероприятий в сельских поселениях района - 1,6;                                                                                                                              </t>
    </r>
  </si>
  <si>
    <t xml:space="preserve">20. Пошив костюмов творческим коллективам для участия в фестивале КИТ - 25,2;                                                                                                         21. Выставка-конкурс ДПИ Пасхальное чудо - 8,0;                                                                                                                                                         22. Участие в Межрегиональном конкурсе-фестивале Вокального мастерства  (орг.взнос) - 3,0;                                                                                           23. Участие в Международном разножанровом фестивале Вокального мастерства КИТ  (орг.взнос) - 11,8;                                                                                24. Районный конкурс детского и юношеского творчества «Надежда нации» - 29,7;                                                                                                       25. Участие в конкурсе «И Песня ковала Победу» (оргвзнос) - 1,0;                                                                                                26. День дошкольного работника - 19,5;                                                                                                                                                         27. Конкурс ДПИ «Шишечное настроение» - 5,5;                                                                                                                                   28. Мастер-класс «Каллиграфия. Основы» - 3,4;                                                                                                                                   29. День с.Зеленое - 15,5;                                                                                                                                                                            30. День села аал.Райков, «День Лошади» - 26,9;                                                                                                                                                               31. Конкурс фотографий, приуроченный к 110-летию аал.Райков - 18,0;                                                                                                                                      32. Игровая программа «По морям, по океанам» - 5,2;                                                                                                                             33. День пожарной охраны - 26,9;                                                                                                                                                                         34. Ярмарка «Дружный бизнес Хакасии» - 5,7;                                                                                                                                                              35.Конкурс фотографий ко Дню Молодежи - 16,0;                                                                                                                                                    Остаток на счете 16,0.                                                                                                                                                  </t>
  </si>
  <si>
    <r>
      <rPr>
        <b/>
        <sz val="14"/>
        <rFont val="Times New Roman"/>
        <family val="1"/>
        <charset val="204"/>
      </rPr>
      <t>1.Органы местного самоуправления - 4031,3</t>
    </r>
    <r>
      <rPr>
        <sz val="14"/>
        <rFont val="Times New Roman"/>
        <family val="1"/>
        <charset val="204"/>
      </rPr>
      <t xml:space="preserve">, в том числе: Заработная плата - 3036,1; Начисления на выплаты по оплате труда - 810,7; Услуги связи - 17,0; Услуги по содержанию имущества - 12,6; 5. Прочие работы и услуги - 91,45; Увеличение стоимости прочих материальных запасов - 0,95; Суточные - 4,0; Проезд, проживание - 58,0; Прочие расходы - 0,5.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>2.Обеспечение деятельности подведомственных учреждений - 16225,2,</t>
    </r>
    <r>
      <rPr>
        <sz val="14"/>
        <rFont val="Times New Roman"/>
        <family val="1"/>
        <charset val="204"/>
      </rPr>
      <t xml:space="preserve"> в том числе: Заработная плата - 11209,7; Начисления на выплаты по оплате труда - 3116,7;  Услуги связи - 42,4; Услуги по содержанию имущества - 38,5;  Прочие работы, услуги - 214,9; Страхование автомобиля - 4,1; Увеличение стоимости  ГСМ - 250,1; Увеличение стоимости прочих оборотных запасов (материалов) - 63,2; Увеличение стоимости основных средств - 1260,8; Прочие расходы - 24,8.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</si>
  <si>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4"/>
        <rFont val="Times New Roman"/>
        <family val="1"/>
        <charset val="204"/>
      </rPr>
      <t>1. Обеспечение деятельности подведомственных учреждений (МБУ культуры МРЦ) - 1162,8,</t>
    </r>
    <r>
      <rPr>
        <sz val="14"/>
        <rFont val="Times New Roman"/>
        <family val="1"/>
        <charset val="204"/>
      </rPr>
      <t xml:space="preserve"> в том числе: Заработная плата - 862,88;  Начисления на выплаты по оплате труда - 247,1; Услуги связи - 15,7;  Услуги по содержанию имущества - 2,2; Прочие работы, услуги - 11,0;  Увеличение стоимости основных средств - 16,1; Увеличение стоимости прочих оборотных запасов - 7,52; Прочие расходы - 0,3 (пени).         </t>
    </r>
  </si>
  <si>
    <r>
      <rPr>
        <b/>
        <sz val="14"/>
        <rFont val="Times New Roman"/>
        <family val="1"/>
        <charset val="204"/>
      </rPr>
      <t xml:space="preserve">2. Мероприятия в области молодежной политики - 280,6, </t>
    </r>
    <r>
      <rPr>
        <sz val="14"/>
        <rFont val="Times New Roman"/>
        <family val="1"/>
        <charset val="204"/>
      </rPr>
      <t xml:space="preserve">в том числе:                                                                                                                                            1. Встреча студенческой молодежи с Главой района - 2,5;                                                                                                                                  2. Районный видео-конкурс «История моего села во время ВОВ» - 4,9 (блокадный хлеб);                                                            3. Квиз ко Дню молодежи «Не вопрос» - 6,4;                                                                                                                                                                        4. Районный конкурс «Молодежная инициатива 2022» (стройматериалы) - 37,0;                                                                                                                       5. Фестиваль «Молодежный креатив» - 14,9;                                                                                                                                                             6. Грант Главы Усть-Абаканского района - 50,0;                                                                                                                                                 7. Районная акция «Экологическая неделя» - 10,0;                                                                                                                                             8. Квест «Энергия молодых в здоровое русло» - 1,9;                                                                                                                                                            9.Акции посвященные празднованию 9 мая - 25,4;                                                                                                                                                            10. Квиз «По следам предков» - 4,8;                                                                                                                                                                                     11. Акция «Оберегаем детство» - 4,6;                                                                                                                                              12. Районный слет молодежи «Мега-пикник» - 41,3;                                                                                                                                       13. Районная акция «Ветеран живет рядом» - 24,4;                                                                                                                                  14. Районная акция «Безымянных могил не бывает» - 14,0;                                                                                                            15. Оплата трудоустройства несовершеннолетних (услуги монтажа видеороликов, озеленение территорий) - 38,5.                                                                                                                 </t>
    </r>
  </si>
  <si>
    <r>
      <t xml:space="preserve">Гармонизация отношений в Усть-Абаканском районе Республики Хакасия и их этнокультурное развитие:                                                                                                                                                                                            1.Мероприятия в сфере развития и гармонизации межнациональных отношений - 255,5:  </t>
    </r>
    <r>
      <rPr>
        <sz val="14"/>
        <rFont val="Times New Roman"/>
        <family val="1"/>
        <charset val="204"/>
      </rPr>
      <t xml:space="preserve">                                                                               1. Республиканское мероприятие Хакасского нового года «Чыл-Пазы» - 48,5;                                                                                                 2. Литература о народах России - 15,0;                                                                                                                                                          3. Поездка ансамбля Добро в г.Красноярск - 22,0;                                                                                                                                                                      4. Республиканский праздник Тун Пайрам - 92,3;                                                                                                                                            5. Национальный праздник «Уртун Тойы» - 62,1;                                                                                                                                    6. Национальный конкурс «Алып-2022» - 12,1;                                                                                                                             7. Муниципальный этап регионального конкурса юных чтецов «Родное слово – живое слово» (Тiрiг классика) - 0,5;                                                                                                                                                                                                          8. Региональный этап конкурса юных чтецов «Родное слово – живое слово» (Тiрiг классика) - 0,5;                                                                                                                      9. Районный спортивный праздник «Хакасские народные забавы «Кӱскӱ ойыннар» для воспитанников дошкольных образовательных организаций - 2,5.</t>
    </r>
  </si>
  <si>
    <r>
      <t xml:space="preserve">Совершенствование системы охраны труда.                                                                                                                                     1.Мероприятия в области улучшений условий и охраны труда - 1956,7, из них:                                                                                                                                                                                                            </t>
    </r>
    <r>
      <rPr>
        <sz val="14"/>
        <rFont val="Times New Roman"/>
        <family val="1"/>
        <charset val="204"/>
      </rPr>
      <t xml:space="preserve">^Проведение производственного контроля - 1022,5;  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</t>
    </r>
    <r>
      <rPr>
        <sz val="14"/>
        <rFont val="Times New Roman"/>
        <family val="1"/>
        <charset val="204"/>
      </rPr>
      <t xml:space="preserve">^Приобретение специальной одежды - 186,4;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                </t>
    </r>
    <r>
      <rPr>
        <sz val="14"/>
        <rFont val="Times New Roman"/>
        <family val="1"/>
        <charset val="204"/>
      </rPr>
      <t xml:space="preserve">^Проведение специальной оценки условий труда - 193,0;                                                                                                                                                                    ^Проведение обучения по охране труда - 89,0;                                                                                                                                                                                       ^Проведение медицинских осмотров - 355,4;                                                                                                                                                                                                                                                                                                                     ^Приобретение медицинских масок, дезинфицирующих средств - 1,1;                                                                                                                                                                                                                                                                                                                                                                                                                                                                                                                                           ^Приобретение смывающих и обеззараживающих средств (мыло туалетное,крем для рук) - 12,3;                                                                                                                                                                                                                                                                                                                                                                                                                                                             ^Обустройство мест отдыха - 20,0;                                                                                                                                                                                                   ^Приобретение аптечек для оказания первой помощи - 13,0;                                                                                                  ^Приобретение "Системы охраны труда" - 53,0;                                                                                                                    ^Оснащение классов-приобретение стендов - 11,0.                                                                                                                   </t>
    </r>
    <r>
      <rPr>
        <sz val="14"/>
        <color rgb="FFFF0000"/>
        <rFont val="Times New Roman"/>
        <family val="1"/>
        <charset val="204"/>
      </rPr>
      <t xml:space="preserve">                                 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</t>
    </r>
  </si>
  <si>
    <t>36. Установка ограждения - 933,7;                                                                                                                                                                        37.Приобретение стеллажа - 7,0;                                                                                                                                                                                           38. Конкур выставка рисунков «Моя бабушка и дедушка» - 6,0;                                                                                                                                                           39. Квест История моего поселка - 9,6;                                                                                                                                                                 40. Митинг, посвященный Дню окончания Второй мировой войны - 7,3;                                                                                                                                     41. Акция «День флага» - 5,6;                                                                                                                                                                                                                    42. Мастер классы «Рисуем на камнях» - 6,3;                                                                                                                                                                              43. Установка видеонаблюдения - 827,0;                                                                                                                                                                                                         44. Фестиваль выпускников под Алым Парусом Хакасии - 30,0;                                                                                                                                                                 44. День морского флота  - 22,1;                                                                                                                                                          45. Проведение мероприятий с детьми в каникулярный период - 7,1;                                                                                                                                 46 Ярмарка Дружный бизнес Хакасии проведение мастер класса роспись на камнях - 4,0;                                                                                                       47. Мастер класс «Чудесная открытка» к дню семьи, любви и верности - 1,6;                                                                                                                 48. Квест «Заполярье» - 7,0;                                                                                                                                                                                                                                   49. Квест Дети Победы - 11,0.</t>
  </si>
  <si>
    <r>
      <t>1.Мероприятия по профилактике безнадзорности и правонарушений несовершеннолетних - 60,1,</t>
    </r>
    <r>
      <rPr>
        <sz val="14"/>
        <rFont val="Times New Roman"/>
        <family val="1"/>
        <charset val="204"/>
      </rPr>
      <t xml:space="preserve"> из них: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 ^</t>
    </r>
    <r>
      <rPr>
        <sz val="14"/>
        <rFont val="Times New Roman"/>
        <family val="1"/>
        <charset val="204"/>
      </rPr>
      <t xml:space="preserve">ГСМ для проведения рейдовых мероприятий - 2,0;                                                                                                                                           ^Приобретение канцелярии - 0,7;                                                                                                                                                                                                              ^Организация досуга в летний период н/летних, состоящих проф. на учете в КДН и ЗП (1.экскурсии в музей МВД, 2.Хакасский национальный музей, 3.кондитерскую «Малинники», 4.квест-игра) - 20,0;                                                                                    ^Трудоустройство в летний период н/летних, состоящих на проф.учете в КДН и ЗП                                                                                 Усть-Абаканский п/с – 1 н/летний - 7,4
Усть-Бюрский с/совет – 2 н/летних - 30,0.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</si>
  <si>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2.Капитальный ремонт, ремонт автомобильных дорог общего пользования местного значения городских округов и поселений, малых и отдельных сел Республики Хакасия, а также на капитальный ремонт, ремонт искуственных сооружений (в том числе на разработку проектной документации) - 17632,1 (РХ), </t>
    </r>
    <r>
      <rPr>
        <sz val="14"/>
        <rFont val="Times New Roman"/>
        <family val="1"/>
        <charset val="204"/>
      </rPr>
      <t xml:space="preserve">из них: Субсидии из республиканского бюджета Республики Хакасия:                                                                                                                                                                                                                                                                                  ^Ремонт асфальтобетонного покрытия автомобильной дороги ул. 30 лет Победы с. Вершино-Биджа (0,6 км) Усть-Абаканского района Республики Хакасия - 4843,8;                                                                                                                                                      ^Ремонт автомобильной дороги ул. Павлика Морозова  аал Мохов (0,503 км) - 835,2;                                                                                                                       ^Ремонт автомобильной дороги ул. Школьная аал Мохов (0,7 км)- 1162,3;                                                                                                               ^Ремонт автомобильной дороги ул. Курченко аал Мохов (0,497км) - 825,2;                                                                                                             ^Ремонт автомобильной дороги ул. Подгорная с. Московское (0,65км) - 1055,4;                                                                                               ^Ремонт автомобильной дороги аал Чарков - аал Уйбат (1,7 км) - 4311,3;                                                                                                               ^Ремонт автомобильной дороги с. Усть-Бюр - хутор Верхний Тибик (0,28 км) - 1721,8;                                                                                                   ^Ремонт автомобильной дороги ул. Станционная с. Усть-Бюр (0,8 км) - 2877,1. </t>
    </r>
  </si>
  <si>
    <t>- руководитель управления финансов и экономики администрации Усть-Абаканского района</t>
  </si>
  <si>
    <t>Осуществление органами местного самоуправления государственных полномочий в области охраны труда - 417,9 (РХ).</t>
  </si>
  <si>
    <r>
      <rPr>
        <b/>
        <sz val="14"/>
        <color theme="1"/>
        <rFont val="Times New Roman"/>
        <family val="1"/>
        <charset val="204"/>
      </rPr>
      <t>Обеспечение деятельности органов местного самоуправления</t>
    </r>
    <r>
      <rPr>
        <sz val="14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- 10215,0,</t>
    </r>
    <r>
      <rPr>
        <sz val="14"/>
        <color theme="1"/>
        <rFont val="Times New Roman"/>
        <family val="1"/>
        <charset val="204"/>
      </rPr>
      <t xml:space="preserve"> в том числе: заработная плата - 6151,9; социальные пособия и компенсации персоналу - 49,6; страховые взносы - 1738,3; услуги связи - 73,0; коммунальные услуги - 124,3; работы, услуги по содержанию имущества - 920,7; прочие работы, услуги - 316,5; страхование - 4,3; увеличение стоимости основных средств - 477,8; увеличение стоимости мат.запасов - 357,1; прочие налоги и сборы - 1,5.</t>
    </r>
  </si>
  <si>
    <r>
      <t xml:space="preserve">Региональный проект Республики Хакасия «Чистая вода» - </t>
    </r>
    <r>
      <rPr>
        <sz val="14"/>
        <color theme="1"/>
        <rFont val="Times New Roman"/>
        <family val="1"/>
        <charset val="204"/>
      </rPr>
      <t>53785,2, в том числе:</t>
    </r>
    <r>
      <rPr>
        <b/>
        <sz val="14"/>
        <color theme="1"/>
        <rFont val="Times New Roman"/>
        <family val="1"/>
        <charset val="204"/>
      </rPr>
      <t xml:space="preserve"> 966,4 (МБ), 5941,3 (РХ); 46877,5 (ФБ):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color theme="1"/>
        <rFont val="Times New Roman"/>
        <family val="1"/>
        <charset val="204"/>
      </rPr>
      <t xml:space="preserve">1.Строительство и реконструкция объектов питьевого водоснабжения ( в том числе софинансирование с республиканским бюджетом):                                                                                                                                               </t>
    </r>
    <r>
      <rPr>
        <sz val="14"/>
        <color theme="1"/>
        <rFont val="Times New Roman"/>
        <family val="1"/>
        <charset val="204"/>
      </rPr>
      <t xml:space="preserve"> ^Строительство системы водоснабжения с. Зеленое  - 52663,7,                                                                                                                       ^Строительный контроль за строительством системы водоснабжения с.Зеленое - 1121,4. </t>
    </r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</si>
</sst>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22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20"/>
      <color indexed="81"/>
      <name val="Tahoma"/>
      <family val="2"/>
      <charset val="204"/>
    </font>
    <font>
      <b/>
      <sz val="24"/>
      <color indexed="81"/>
      <name val="Tahoma"/>
      <family val="2"/>
      <charset val="204"/>
    </font>
    <font>
      <sz val="22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b/>
      <sz val="22"/>
      <color indexed="8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88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vertical="center"/>
    </xf>
    <xf numFmtId="164" fontId="4" fillId="0" borderId="0" xfId="0" applyNumberFormat="1" applyFont="1" applyFill="1" applyAlignment="1">
      <alignment horizontal="center" vertical="top"/>
    </xf>
    <xf numFmtId="165" fontId="4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165" fontId="2" fillId="0" borderId="5" xfId="0" applyNumberFormat="1" applyFont="1" applyFill="1" applyBorder="1" applyAlignment="1">
      <alignment horizontal="center" vertical="top"/>
    </xf>
    <xf numFmtId="0" fontId="10" fillId="0" borderId="7" xfId="0" applyFont="1" applyFill="1" applyBorder="1" applyAlignment="1">
      <alignment vertical="top" wrapText="1"/>
    </xf>
    <xf numFmtId="165" fontId="9" fillId="0" borderId="5" xfId="0" applyNumberFormat="1" applyFont="1" applyFill="1" applyBorder="1" applyAlignment="1">
      <alignment vertical="top" wrapText="1"/>
    </xf>
    <xf numFmtId="0" fontId="10" fillId="0" borderId="2" xfId="0" applyFont="1" applyFill="1" applyBorder="1" applyAlignment="1">
      <alignment vertical="top" wrapText="1"/>
    </xf>
    <xf numFmtId="165" fontId="4" fillId="0" borderId="1" xfId="0" applyNumberFormat="1" applyFont="1" applyFill="1" applyBorder="1" applyAlignment="1">
      <alignment horizontal="center" vertical="top"/>
    </xf>
    <xf numFmtId="0" fontId="14" fillId="0" borderId="1" xfId="0" applyFont="1" applyFill="1" applyBorder="1" applyAlignment="1">
      <alignment vertical="top" wrapText="1"/>
    </xf>
    <xf numFmtId="0" fontId="14" fillId="0" borderId="2" xfId="0" applyFont="1" applyFill="1" applyBorder="1" applyAlignment="1">
      <alignment vertical="top" wrapText="1"/>
    </xf>
    <xf numFmtId="165" fontId="2" fillId="0" borderId="8" xfId="0" applyNumberFormat="1" applyFont="1" applyFill="1" applyBorder="1" applyAlignment="1">
      <alignment horizontal="center" vertical="top"/>
    </xf>
    <xf numFmtId="165" fontId="9" fillId="0" borderId="8" xfId="0" applyNumberFormat="1" applyFont="1" applyFill="1" applyBorder="1" applyAlignment="1">
      <alignment vertical="top" wrapText="1"/>
    </xf>
    <xf numFmtId="165" fontId="2" fillId="0" borderId="8" xfId="0" applyNumberFormat="1" applyFont="1" applyFill="1" applyBorder="1" applyAlignment="1">
      <alignment vertical="top"/>
    </xf>
    <xf numFmtId="165" fontId="2" fillId="0" borderId="8" xfId="0" applyNumberFormat="1" applyFont="1" applyFill="1" applyBorder="1" applyAlignment="1">
      <alignment horizontal="left" vertical="top"/>
    </xf>
    <xf numFmtId="165" fontId="2" fillId="0" borderId="6" xfId="0" applyNumberFormat="1" applyFont="1" applyFill="1" applyBorder="1" applyAlignment="1">
      <alignment horizontal="left" vertical="top"/>
    </xf>
    <xf numFmtId="165" fontId="2" fillId="0" borderId="5" xfId="0" applyNumberFormat="1" applyFont="1" applyFill="1" applyBorder="1" applyAlignment="1">
      <alignment vertical="top" wrapText="1"/>
    </xf>
    <xf numFmtId="165" fontId="2" fillId="0" borderId="8" xfId="0" applyNumberFormat="1" applyFont="1" applyFill="1" applyBorder="1" applyAlignment="1">
      <alignment vertical="top" wrapText="1"/>
    </xf>
    <xf numFmtId="165" fontId="2" fillId="0" borderId="6" xfId="0" applyNumberFormat="1" applyFont="1" applyFill="1" applyBorder="1" applyAlignment="1">
      <alignment vertical="top" wrapText="1"/>
    </xf>
    <xf numFmtId="165" fontId="2" fillId="0" borderId="1" xfId="0" applyNumberFormat="1" applyFont="1" applyFill="1" applyBorder="1" applyAlignment="1">
      <alignment horizontal="center" vertical="top"/>
    </xf>
    <xf numFmtId="165" fontId="2" fillId="0" borderId="1" xfId="0" applyNumberFormat="1" applyFont="1" applyFill="1" applyBorder="1" applyAlignment="1">
      <alignment vertical="top" wrapText="1"/>
    </xf>
    <xf numFmtId="165" fontId="4" fillId="0" borderId="5" xfId="0" applyNumberFormat="1" applyFont="1" applyFill="1" applyBorder="1" applyAlignment="1">
      <alignment horizontal="center" vertical="top"/>
    </xf>
    <xf numFmtId="0" fontId="14" fillId="0" borderId="5" xfId="0" applyFont="1" applyFill="1" applyBorder="1" applyAlignment="1">
      <alignment vertical="top" wrapText="1"/>
    </xf>
    <xf numFmtId="0" fontId="14" fillId="0" borderId="2" xfId="0" applyFont="1" applyFill="1" applyBorder="1" applyAlignment="1">
      <alignment horizontal="left" vertical="top" wrapText="1"/>
    </xf>
    <xf numFmtId="0" fontId="9" fillId="0" borderId="5" xfId="0" applyFont="1" applyFill="1" applyBorder="1" applyAlignment="1">
      <alignment vertical="top" wrapText="1"/>
    </xf>
    <xf numFmtId="165" fontId="2" fillId="0" borderId="6" xfId="0" applyNumberFormat="1" applyFont="1" applyFill="1" applyBorder="1" applyAlignment="1">
      <alignment horizontal="center" vertical="top"/>
    </xf>
    <xf numFmtId="0" fontId="9" fillId="0" borderId="8" xfId="0" applyFont="1" applyFill="1" applyBorder="1" applyAlignment="1">
      <alignment vertical="top" wrapText="1"/>
    </xf>
    <xf numFmtId="0" fontId="10" fillId="0" borderId="5" xfId="0" applyFont="1" applyFill="1" applyBorder="1" applyAlignment="1">
      <alignment horizontal="left" vertical="top" wrapText="1"/>
    </xf>
    <xf numFmtId="165" fontId="8" fillId="0" borderId="5" xfId="0" applyNumberFormat="1" applyFont="1" applyFill="1" applyBorder="1" applyAlignment="1">
      <alignment vertical="top" wrapText="1"/>
    </xf>
    <xf numFmtId="0" fontId="10" fillId="0" borderId="9" xfId="0" applyFont="1" applyFill="1" applyBorder="1" applyAlignment="1">
      <alignment horizontal="left" vertical="top" wrapText="1"/>
    </xf>
    <xf numFmtId="165" fontId="8" fillId="0" borderId="6" xfId="0" applyNumberFormat="1" applyFont="1" applyFill="1" applyBorder="1" applyAlignment="1">
      <alignment vertical="top" wrapText="1"/>
    </xf>
    <xf numFmtId="0" fontId="10" fillId="0" borderId="10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11" fillId="0" borderId="2" xfId="0" applyFont="1" applyFill="1" applyBorder="1" applyAlignment="1">
      <alignment vertical="top" wrapText="1"/>
    </xf>
    <xf numFmtId="165" fontId="4" fillId="0" borderId="8" xfId="0" applyNumberFormat="1" applyFont="1" applyFill="1" applyBorder="1" applyAlignment="1">
      <alignment horizontal="center" vertical="top"/>
    </xf>
    <xf numFmtId="0" fontId="8" fillId="0" borderId="6" xfId="0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center" vertical="top"/>
    </xf>
    <xf numFmtId="0" fontId="10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left" vertical="top" wrapText="1"/>
    </xf>
    <xf numFmtId="165" fontId="4" fillId="0" borderId="1" xfId="0" applyNumberFormat="1" applyFont="1" applyFill="1" applyBorder="1" applyAlignment="1">
      <alignment horizontal="center" vertical="top" wrapText="1"/>
    </xf>
    <xf numFmtId="165" fontId="2" fillId="0" borderId="1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vertical="top" wrapText="1"/>
    </xf>
    <xf numFmtId="165" fontId="2" fillId="0" borderId="5" xfId="0" applyNumberFormat="1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vertical="top" wrapText="1"/>
    </xf>
    <xf numFmtId="165" fontId="4" fillId="0" borderId="2" xfId="0" applyNumberFormat="1" applyFont="1" applyFill="1" applyBorder="1" applyAlignment="1">
      <alignment horizontal="center" vertical="top" wrapText="1"/>
    </xf>
    <xf numFmtId="165" fontId="2" fillId="0" borderId="8" xfId="0" applyNumberFormat="1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left" vertical="top" wrapText="1"/>
    </xf>
    <xf numFmtId="165" fontId="2" fillId="0" borderId="6" xfId="0" applyNumberFormat="1" applyFont="1" applyFill="1" applyBorder="1" applyAlignment="1">
      <alignment horizontal="center" vertical="top" wrapText="1"/>
    </xf>
    <xf numFmtId="0" fontId="10" fillId="0" borderId="6" xfId="0" applyFont="1" applyFill="1" applyBorder="1" applyAlignment="1">
      <alignment horizontal="left" vertical="top" wrapText="1"/>
    </xf>
    <xf numFmtId="49" fontId="4" fillId="0" borderId="5" xfId="0" applyNumberFormat="1" applyFont="1" applyFill="1" applyBorder="1" applyAlignment="1">
      <alignment horizontal="center" vertical="top"/>
    </xf>
    <xf numFmtId="0" fontId="4" fillId="0" borderId="5" xfId="0" applyFont="1" applyFill="1" applyBorder="1" applyAlignment="1">
      <alignment horizontal="left" vertical="top" wrapText="1"/>
    </xf>
    <xf numFmtId="49" fontId="2" fillId="0" borderId="8" xfId="0" applyNumberFormat="1" applyFont="1" applyFill="1" applyBorder="1" applyAlignment="1">
      <alignment vertical="top"/>
    </xf>
    <xf numFmtId="0" fontId="4" fillId="0" borderId="8" xfId="0" applyFont="1" applyFill="1" applyBorder="1" applyAlignment="1">
      <alignment horizontal="left" vertical="top" wrapText="1"/>
    </xf>
    <xf numFmtId="165" fontId="2" fillId="0" borderId="0" xfId="0" applyNumberFormat="1" applyFont="1" applyFill="1" applyBorder="1" applyAlignment="1">
      <alignment vertical="top"/>
    </xf>
    <xf numFmtId="165" fontId="4" fillId="0" borderId="0" xfId="0" applyNumberFormat="1" applyFont="1" applyFill="1" applyBorder="1" applyAlignment="1">
      <alignment horizontal="left" vertical="top" wrapText="1"/>
    </xf>
    <xf numFmtId="0" fontId="16" fillId="0" borderId="0" xfId="0" applyFont="1" applyFill="1" applyAlignment="1">
      <alignment horizontal="center"/>
    </xf>
    <xf numFmtId="0" fontId="11" fillId="0" borderId="7" xfId="0" applyFont="1" applyFill="1" applyBorder="1" applyAlignment="1">
      <alignment vertical="top" wrapText="1"/>
    </xf>
    <xf numFmtId="0" fontId="11" fillId="0" borderId="9" xfId="0" applyFont="1" applyFill="1" applyBorder="1" applyAlignment="1">
      <alignment vertical="top" wrapText="1"/>
    </xf>
    <xf numFmtId="0" fontId="10" fillId="0" borderId="9" xfId="0" applyFont="1" applyFill="1" applyBorder="1" applyAlignment="1">
      <alignment vertical="top" wrapText="1"/>
    </xf>
    <xf numFmtId="165" fontId="4" fillId="0" borderId="6" xfId="0" applyNumberFormat="1" applyFont="1" applyFill="1" applyBorder="1" applyAlignment="1">
      <alignment horizontal="center" vertical="top"/>
    </xf>
    <xf numFmtId="0" fontId="14" fillId="0" borderId="9" xfId="0" applyFont="1" applyFill="1" applyBorder="1" applyAlignment="1">
      <alignment vertical="top" wrapText="1"/>
    </xf>
    <xf numFmtId="0" fontId="14" fillId="0" borderId="6" xfId="0" applyFont="1" applyFill="1" applyBorder="1" applyAlignment="1">
      <alignment vertical="top" wrapText="1"/>
    </xf>
    <xf numFmtId="164" fontId="4" fillId="0" borderId="0" xfId="0" applyNumberFormat="1" applyFont="1" applyFill="1" applyAlignment="1">
      <alignment horizontal="center" vertical="top" wrapText="1"/>
    </xf>
    <xf numFmtId="164" fontId="8" fillId="0" borderId="5" xfId="0" applyNumberFormat="1" applyFont="1" applyFill="1" applyBorder="1" applyAlignment="1">
      <alignment horizontal="center" vertical="top"/>
    </xf>
    <xf numFmtId="164" fontId="4" fillId="0" borderId="1" xfId="0" applyNumberFormat="1" applyFont="1" applyFill="1" applyBorder="1" applyAlignment="1">
      <alignment horizontal="center" vertical="top"/>
    </xf>
    <xf numFmtId="164" fontId="8" fillId="0" borderId="8" xfId="0" applyNumberFormat="1" applyFont="1" applyFill="1" applyBorder="1" applyAlignment="1">
      <alignment horizontal="center" vertical="top"/>
    </xf>
    <xf numFmtId="164" fontId="8" fillId="0" borderId="8" xfId="0" applyNumberFormat="1" applyFont="1" applyFill="1" applyBorder="1" applyAlignment="1">
      <alignment vertical="top"/>
    </xf>
    <xf numFmtId="164" fontId="8" fillId="0" borderId="6" xfId="0" applyNumberFormat="1" applyFont="1" applyFill="1" applyBorder="1" applyAlignment="1">
      <alignment horizontal="center" vertical="top"/>
    </xf>
    <xf numFmtId="164" fontId="8" fillId="0" borderId="1" xfId="0" applyNumberFormat="1" applyFont="1" applyFill="1" applyBorder="1" applyAlignment="1">
      <alignment horizontal="center" vertical="top"/>
    </xf>
    <xf numFmtId="164" fontId="4" fillId="0" borderId="5" xfId="0" applyNumberFormat="1" applyFont="1" applyFill="1" applyBorder="1" applyAlignment="1">
      <alignment horizontal="center" vertical="top"/>
    </xf>
    <xf numFmtId="164" fontId="4" fillId="0" borderId="8" xfId="0" applyNumberFormat="1" applyFont="1" applyFill="1" applyBorder="1" applyAlignment="1">
      <alignment horizontal="center" vertical="top"/>
    </xf>
    <xf numFmtId="164" fontId="4" fillId="0" borderId="6" xfId="0" applyNumberFormat="1" applyFont="1" applyFill="1" applyBorder="1" applyAlignment="1">
      <alignment horizontal="center" vertical="top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top"/>
    </xf>
    <xf numFmtId="164" fontId="2" fillId="0" borderId="8" xfId="0" applyNumberFormat="1" applyFont="1" applyFill="1" applyBorder="1" applyAlignment="1">
      <alignment horizontal="center" vertical="top"/>
    </xf>
    <xf numFmtId="0" fontId="4" fillId="0" borderId="0" xfId="0" applyFont="1" applyFill="1" applyAlignment="1">
      <alignment vertical="top"/>
    </xf>
    <xf numFmtId="0" fontId="2" fillId="0" borderId="0" xfId="0" applyFont="1" applyFill="1" applyAlignment="1">
      <alignment vertical="top" shrinkToFit="1"/>
    </xf>
    <xf numFmtId="165" fontId="8" fillId="0" borderId="5" xfId="0" applyNumberFormat="1" applyFont="1" applyFill="1" applyBorder="1" applyAlignment="1">
      <alignment horizontal="center" vertical="top"/>
    </xf>
    <xf numFmtId="0" fontId="2" fillId="0" borderId="0" xfId="0" applyFont="1" applyFill="1" applyBorder="1"/>
    <xf numFmtId="4" fontId="2" fillId="0" borderId="0" xfId="0" applyNumberFormat="1" applyFont="1" applyFill="1" applyAlignment="1">
      <alignment vertical="top"/>
    </xf>
    <xf numFmtId="4" fontId="4" fillId="0" borderId="0" xfId="0" applyNumberFormat="1" applyFont="1" applyFill="1" applyAlignment="1">
      <alignment vertical="top"/>
    </xf>
    <xf numFmtId="49" fontId="4" fillId="0" borderId="8" xfId="0" applyNumberFormat="1" applyFont="1" applyFill="1" applyBorder="1" applyAlignment="1">
      <alignment horizontal="center" vertical="top"/>
    </xf>
    <xf numFmtId="165" fontId="8" fillId="0" borderId="8" xfId="0" applyNumberFormat="1" applyFont="1" applyFill="1" applyBorder="1" applyAlignment="1">
      <alignment vertical="top" wrapText="1"/>
    </xf>
    <xf numFmtId="4" fontId="2" fillId="0" borderId="0" xfId="0" applyNumberFormat="1" applyFont="1" applyFill="1" applyAlignment="1">
      <alignment horizontal="center" vertical="top"/>
    </xf>
    <xf numFmtId="4" fontId="2" fillId="0" borderId="0" xfId="0" applyNumberFormat="1" applyFont="1" applyFill="1" applyAlignment="1">
      <alignment vertical="top" wrapText="1"/>
    </xf>
    <xf numFmtId="1" fontId="2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Alignment="1">
      <alignment horizontal="center" vertical="center"/>
    </xf>
    <xf numFmtId="1" fontId="2" fillId="0" borderId="0" xfId="0" applyNumberFormat="1" applyFont="1" applyFill="1" applyAlignment="1">
      <alignment horizontal="center" vertical="top" shrinkToFit="1"/>
    </xf>
    <xf numFmtId="164" fontId="2" fillId="0" borderId="0" xfId="0" applyNumberFormat="1" applyFont="1" applyFill="1" applyAlignment="1">
      <alignment horizontal="right" vertical="top" shrinkToFit="1"/>
    </xf>
    <xf numFmtId="164" fontId="4" fillId="0" borderId="0" xfId="0" applyNumberFormat="1" applyFont="1" applyFill="1" applyAlignment="1">
      <alignment horizontal="right" vertical="top" shrinkToFit="1"/>
    </xf>
    <xf numFmtId="164" fontId="4" fillId="0" borderId="6" xfId="0" applyNumberFormat="1" applyFont="1" applyFill="1" applyBorder="1" applyAlignment="1">
      <alignment horizontal="center" vertical="center" shrinkToFit="1"/>
    </xf>
    <xf numFmtId="164" fontId="8" fillId="0" borderId="5" xfId="0" applyNumberFormat="1" applyFont="1" applyFill="1" applyBorder="1" applyAlignment="1">
      <alignment horizontal="right" vertical="top" shrinkToFit="1"/>
    </xf>
    <xf numFmtId="164" fontId="4" fillId="0" borderId="1" xfId="0" applyNumberFormat="1" applyFont="1" applyFill="1" applyBorder="1" applyAlignment="1">
      <alignment horizontal="right" vertical="top" shrinkToFit="1"/>
    </xf>
    <xf numFmtId="164" fontId="9" fillId="0" borderId="5" xfId="0" applyNumberFormat="1" applyFont="1" applyFill="1" applyBorder="1" applyAlignment="1">
      <alignment vertical="top" shrinkToFit="1"/>
    </xf>
    <xf numFmtId="164" fontId="8" fillId="0" borderId="5" xfId="0" applyNumberFormat="1" applyFont="1" applyFill="1" applyBorder="1" applyAlignment="1">
      <alignment vertical="top" shrinkToFit="1"/>
    </xf>
    <xf numFmtId="164" fontId="9" fillId="0" borderId="8" xfId="0" applyNumberFormat="1" applyFont="1" applyFill="1" applyBorder="1" applyAlignment="1">
      <alignment vertical="top" shrinkToFit="1"/>
    </xf>
    <xf numFmtId="164" fontId="8" fillId="0" borderId="8" xfId="0" applyNumberFormat="1" applyFont="1" applyFill="1" applyBorder="1" applyAlignment="1">
      <alignment vertical="top" shrinkToFit="1"/>
    </xf>
    <xf numFmtId="164" fontId="9" fillId="0" borderId="6" xfId="0" applyNumberFormat="1" applyFont="1" applyFill="1" applyBorder="1" applyAlignment="1">
      <alignment vertical="top" shrinkToFit="1"/>
    </xf>
    <xf numFmtId="164" fontId="2" fillId="0" borderId="5" xfId="0" applyNumberFormat="1" applyFont="1" applyFill="1" applyBorder="1" applyAlignment="1">
      <alignment horizontal="right" vertical="top" shrinkToFit="1"/>
    </xf>
    <xf numFmtId="164" fontId="4" fillId="0" borderId="5" xfId="0" applyNumberFormat="1" applyFont="1" applyFill="1" applyBorder="1" applyAlignment="1">
      <alignment horizontal="right" vertical="top" shrinkToFit="1"/>
    </xf>
    <xf numFmtId="164" fontId="2" fillId="0" borderId="1" xfId="0" applyNumberFormat="1" applyFont="1" applyFill="1" applyBorder="1" applyAlignment="1">
      <alignment horizontal="right" vertical="top" shrinkToFit="1"/>
    </xf>
    <xf numFmtId="164" fontId="2" fillId="0" borderId="4" xfId="0" applyNumberFormat="1" applyFont="1" applyFill="1" applyBorder="1" applyAlignment="1">
      <alignment horizontal="right" vertical="top" shrinkToFit="1"/>
    </xf>
    <xf numFmtId="164" fontId="9" fillId="0" borderId="1" xfId="0" applyNumberFormat="1" applyFont="1" applyFill="1" applyBorder="1" applyAlignment="1">
      <alignment horizontal="right" vertical="top" shrinkToFit="1"/>
    </xf>
    <xf numFmtId="164" fontId="8" fillId="0" borderId="1" xfId="0" applyNumberFormat="1" applyFont="1" applyFill="1" applyBorder="1" applyAlignment="1">
      <alignment horizontal="right" vertical="top" shrinkToFit="1"/>
    </xf>
    <xf numFmtId="164" fontId="2" fillId="0" borderId="11" xfId="0" applyNumberFormat="1" applyFont="1" applyFill="1" applyBorder="1" applyAlignment="1">
      <alignment horizontal="right" vertical="top" shrinkToFit="1"/>
    </xf>
    <xf numFmtId="164" fontId="9" fillId="0" borderId="5" xfId="0" applyNumberFormat="1" applyFont="1" applyFill="1" applyBorder="1" applyAlignment="1">
      <alignment horizontal="right" vertical="top" shrinkToFit="1"/>
    </xf>
    <xf numFmtId="164" fontId="9" fillId="0" borderId="8" xfId="0" applyNumberFormat="1" applyFont="1" applyFill="1" applyBorder="1" applyAlignment="1">
      <alignment horizontal="right" vertical="top" shrinkToFit="1"/>
    </xf>
    <xf numFmtId="164" fontId="8" fillId="0" borderId="8" xfId="0" applyNumberFormat="1" applyFont="1" applyFill="1" applyBorder="1" applyAlignment="1">
      <alignment horizontal="right" vertical="top" shrinkToFit="1"/>
    </xf>
    <xf numFmtId="164" fontId="2" fillId="0" borderId="8" xfId="0" applyNumberFormat="1" applyFont="1" applyFill="1" applyBorder="1" applyAlignment="1">
      <alignment horizontal="right" vertical="top" shrinkToFit="1"/>
    </xf>
    <xf numFmtId="164" fontId="2" fillId="0" borderId="0" xfId="0" applyNumberFormat="1" applyFont="1" applyFill="1" applyBorder="1" applyAlignment="1">
      <alignment horizontal="right" vertical="top" shrinkToFit="1"/>
    </xf>
    <xf numFmtId="164" fontId="4" fillId="0" borderId="8" xfId="0" applyNumberFormat="1" applyFont="1" applyFill="1" applyBorder="1" applyAlignment="1">
      <alignment horizontal="right" vertical="top" shrinkToFit="1"/>
    </xf>
    <xf numFmtId="164" fontId="11" fillId="0" borderId="5" xfId="0" applyNumberFormat="1" applyFont="1" applyFill="1" applyBorder="1" applyAlignment="1">
      <alignment horizontal="right" vertical="top" shrinkToFit="1"/>
    </xf>
    <xf numFmtId="164" fontId="4" fillId="0" borderId="1" xfId="0" applyNumberFormat="1" applyFont="1" applyFill="1" applyBorder="1" applyAlignment="1">
      <alignment horizontal="right" vertical="center" shrinkToFit="1"/>
    </xf>
    <xf numFmtId="164" fontId="4" fillId="0" borderId="0" xfId="0" applyNumberFormat="1" applyFont="1" applyFill="1" applyBorder="1" applyAlignment="1">
      <alignment horizontal="right" vertical="center" shrinkToFit="1"/>
    </xf>
    <xf numFmtId="164" fontId="4" fillId="0" borderId="0" xfId="0" applyNumberFormat="1" applyFont="1" applyFill="1" applyBorder="1" applyAlignment="1">
      <alignment horizontal="right" vertical="top" shrinkToFit="1"/>
    </xf>
    <xf numFmtId="0" fontId="8" fillId="0" borderId="8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top" wrapText="1"/>
    </xf>
    <xf numFmtId="165" fontId="8" fillId="0" borderId="8" xfId="0" applyNumberFormat="1" applyFont="1" applyFill="1" applyBorder="1" applyAlignment="1">
      <alignment horizontal="center" vertical="top"/>
    </xf>
    <xf numFmtId="165" fontId="8" fillId="0" borderId="9" xfId="0" applyNumberFormat="1" applyFont="1" applyFill="1" applyBorder="1" applyAlignment="1">
      <alignment vertical="top" wrapText="1"/>
    </xf>
    <xf numFmtId="4" fontId="2" fillId="0" borderId="0" xfId="0" applyNumberFormat="1" applyFont="1" applyFill="1" applyAlignment="1"/>
    <xf numFmtId="164" fontId="9" fillId="0" borderId="6" xfId="0" applyNumberFormat="1" applyFont="1" applyFill="1" applyBorder="1" applyAlignment="1">
      <alignment horizontal="right" vertical="top" shrinkToFit="1"/>
    </xf>
    <xf numFmtId="164" fontId="8" fillId="0" borderId="6" xfId="0" applyNumberFormat="1" applyFont="1" applyFill="1" applyBorder="1" applyAlignment="1">
      <alignment horizontal="right" vertical="top" shrinkToFit="1"/>
    </xf>
    <xf numFmtId="164" fontId="2" fillId="0" borderId="6" xfId="0" applyNumberFormat="1" applyFont="1" applyFill="1" applyBorder="1" applyAlignment="1">
      <alignment horizontal="right" vertical="top" shrinkToFit="1"/>
    </xf>
    <xf numFmtId="164" fontId="2" fillId="0" borderId="12" xfId="0" applyNumberFormat="1" applyFont="1" applyFill="1" applyBorder="1" applyAlignment="1">
      <alignment horizontal="right" vertical="top" shrinkToFit="1"/>
    </xf>
    <xf numFmtId="164" fontId="4" fillId="0" borderId="6" xfId="0" applyNumberFormat="1" applyFont="1" applyFill="1" applyBorder="1" applyAlignment="1">
      <alignment horizontal="right" vertical="top" shrinkToFit="1"/>
    </xf>
    <xf numFmtId="164" fontId="11" fillId="0" borderId="8" xfId="0" applyNumberFormat="1" applyFont="1" applyFill="1" applyBorder="1" applyAlignment="1">
      <alignment horizontal="right" vertical="top" shrinkToFit="1"/>
    </xf>
    <xf numFmtId="164" fontId="11" fillId="0" borderId="6" xfId="0" applyNumberFormat="1" applyFont="1" applyFill="1" applyBorder="1" applyAlignment="1">
      <alignment horizontal="right" vertical="top" shrinkToFit="1"/>
    </xf>
    <xf numFmtId="1" fontId="2" fillId="0" borderId="1" xfId="0" applyNumberFormat="1" applyFont="1" applyFill="1" applyBorder="1" applyAlignment="1">
      <alignment horizontal="center" vertical="center" shrinkToFit="1"/>
    </xf>
    <xf numFmtId="1" fontId="2" fillId="0" borderId="0" xfId="0" applyNumberFormat="1" applyFont="1" applyFill="1" applyAlignment="1">
      <alignment horizontal="center" vertical="top"/>
    </xf>
    <xf numFmtId="165" fontId="9" fillId="0" borderId="1" xfId="0" applyNumberFormat="1" applyFont="1" applyFill="1" applyBorder="1" applyAlignment="1">
      <alignment vertical="top" wrapText="1"/>
    </xf>
    <xf numFmtId="165" fontId="9" fillId="0" borderId="6" xfId="0" applyNumberFormat="1" applyFont="1" applyFill="1" applyBorder="1" applyAlignment="1">
      <alignment vertical="top" wrapText="1"/>
    </xf>
    <xf numFmtId="165" fontId="2" fillId="0" borderId="1" xfId="0" applyNumberFormat="1" applyFont="1" applyFill="1" applyBorder="1" applyAlignment="1">
      <alignment horizontal="left" vertical="top" wrapText="1"/>
    </xf>
    <xf numFmtId="165" fontId="8" fillId="0" borderId="1" xfId="0" applyNumberFormat="1" applyFont="1" applyFill="1" applyBorder="1" applyAlignment="1">
      <alignment vertical="top" wrapText="1"/>
    </xf>
    <xf numFmtId="165" fontId="8" fillId="0" borderId="5" xfId="0" applyNumberFormat="1" applyFont="1" applyFill="1" applyBorder="1" applyAlignment="1">
      <alignment horizontal="left" vertical="top" wrapText="1"/>
    </xf>
    <xf numFmtId="165" fontId="8" fillId="0" borderId="8" xfId="0" applyNumberFormat="1" applyFont="1" applyFill="1" applyBorder="1" applyAlignment="1">
      <alignment horizontal="left" vertical="top" wrapText="1"/>
    </xf>
    <xf numFmtId="165" fontId="9" fillId="0" borderId="8" xfId="0" applyNumberFormat="1" applyFont="1" applyFill="1" applyBorder="1" applyAlignment="1">
      <alignment horizontal="left" vertical="top" wrapText="1"/>
    </xf>
    <xf numFmtId="165" fontId="9" fillId="0" borderId="1" xfId="0" applyNumberFormat="1" applyFont="1" applyFill="1" applyBorder="1" applyAlignment="1">
      <alignment horizontal="left" vertical="top" wrapText="1"/>
    </xf>
    <xf numFmtId="165" fontId="8" fillId="0" borderId="1" xfId="0" applyNumberFormat="1" applyFont="1" applyFill="1" applyBorder="1" applyAlignment="1">
      <alignment horizontal="left" vertical="top" wrapText="1"/>
    </xf>
    <xf numFmtId="4" fontId="2" fillId="0" borderId="0" xfId="0" applyNumberFormat="1" applyFont="1" applyFill="1"/>
    <xf numFmtId="0" fontId="2" fillId="0" borderId="8" xfId="0" applyFont="1" applyFill="1" applyBorder="1" applyAlignment="1">
      <alignment vertical="top" wrapText="1"/>
    </xf>
    <xf numFmtId="0" fontId="4" fillId="0" borderId="6" xfId="0" applyFont="1" applyFill="1" applyBorder="1" applyAlignment="1">
      <alignment vertical="top" wrapText="1"/>
    </xf>
    <xf numFmtId="165" fontId="4" fillId="0" borderId="1" xfId="0" applyNumberFormat="1" applyFont="1" applyFill="1" applyBorder="1" applyAlignment="1">
      <alignment vertical="top" wrapText="1"/>
    </xf>
    <xf numFmtId="165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top"/>
    </xf>
    <xf numFmtId="0" fontId="2" fillId="0" borderId="8" xfId="0" applyNumberFormat="1" applyFont="1" applyFill="1" applyBorder="1" applyAlignment="1">
      <alignment vertical="top" wrapText="1"/>
    </xf>
    <xf numFmtId="165" fontId="8" fillId="0" borderId="6" xfId="0" applyNumberFormat="1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right" wrapText="1"/>
    </xf>
    <xf numFmtId="165" fontId="2" fillId="0" borderId="1" xfId="0" applyNumberFormat="1" applyFont="1" applyFill="1" applyBorder="1" applyAlignment="1">
      <alignment vertical="center"/>
    </xf>
    <xf numFmtId="165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Alignment="1">
      <alignment wrapText="1"/>
    </xf>
    <xf numFmtId="0" fontId="2" fillId="0" borderId="0" xfId="0" applyNumberFormat="1" applyFont="1" applyFill="1"/>
    <xf numFmtId="0" fontId="19" fillId="0" borderId="0" xfId="0" applyFont="1" applyFill="1" applyAlignment="1"/>
    <xf numFmtId="164" fontId="20" fillId="0" borderId="0" xfId="0" applyNumberFormat="1" applyFont="1" applyFill="1" applyBorder="1" applyAlignment="1">
      <alignment horizontal="right" vertical="top" shrinkToFit="1"/>
    </xf>
    <xf numFmtId="164" fontId="20" fillId="0" borderId="0" xfId="0" applyNumberFormat="1" applyFont="1" applyFill="1" applyBorder="1" applyAlignment="1">
      <alignment horizontal="center" vertical="top"/>
    </xf>
    <xf numFmtId="165" fontId="19" fillId="0" borderId="0" xfId="0" applyNumberFormat="1" applyFont="1" applyFill="1" applyBorder="1" applyAlignment="1">
      <alignment vertical="top"/>
    </xf>
    <xf numFmtId="0" fontId="19" fillId="0" borderId="0" xfId="0" applyFont="1" applyFill="1" applyAlignment="1">
      <alignment horizontal="left"/>
    </xf>
    <xf numFmtId="164" fontId="20" fillId="0" borderId="0" xfId="0" applyNumberFormat="1" applyFont="1" applyFill="1" applyBorder="1" applyAlignment="1">
      <alignment horizontal="left" vertical="top" shrinkToFit="1"/>
    </xf>
    <xf numFmtId="49" fontId="19" fillId="0" borderId="0" xfId="0" applyNumberFormat="1" applyFont="1" applyFill="1" applyAlignment="1">
      <alignment horizontal="left"/>
    </xf>
    <xf numFmtId="164" fontId="19" fillId="0" borderId="0" xfId="0" applyNumberFormat="1" applyFont="1" applyFill="1" applyAlignment="1">
      <alignment horizontal="left" vertical="top" shrinkToFit="1"/>
    </xf>
    <xf numFmtId="164" fontId="19" fillId="0" borderId="0" xfId="0" applyNumberFormat="1" applyFont="1" applyFill="1" applyBorder="1" applyAlignment="1">
      <alignment horizontal="left" vertical="top" shrinkToFit="1"/>
    </xf>
    <xf numFmtId="164" fontId="19" fillId="0" borderId="0" xfId="0" applyNumberFormat="1" applyFont="1" applyFill="1" applyBorder="1" applyAlignment="1">
      <alignment horizontal="right" vertical="top" shrinkToFit="1"/>
    </xf>
    <xf numFmtId="164" fontId="20" fillId="0" borderId="0" xfId="0" applyNumberFormat="1" applyFont="1" applyFill="1" applyAlignment="1">
      <alignment horizontal="right" vertical="top" shrinkToFit="1"/>
    </xf>
    <xf numFmtId="164" fontId="19" fillId="0" borderId="0" xfId="0" applyNumberFormat="1" applyFont="1" applyFill="1" applyAlignment="1">
      <alignment horizontal="right" vertical="top" shrinkToFit="1"/>
    </xf>
    <xf numFmtId="164" fontId="19" fillId="0" borderId="0" xfId="0" applyNumberFormat="1" applyFont="1" applyFill="1" applyAlignment="1">
      <alignment horizontal="left" vertical="top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164" fontId="4" fillId="0" borderId="5" xfId="0" applyNumberFormat="1" applyFont="1" applyFill="1" applyBorder="1" applyAlignment="1">
      <alignment horizontal="center" vertical="top" wrapText="1"/>
    </xf>
    <xf numFmtId="164" fontId="4" fillId="0" borderId="6" xfId="0" applyNumberFormat="1" applyFont="1" applyFill="1" applyBorder="1" applyAlignment="1">
      <alignment horizontal="center" vertical="top" wrapText="1"/>
    </xf>
    <xf numFmtId="0" fontId="8" fillId="0" borderId="5" xfId="0" applyFont="1" applyFill="1" applyBorder="1" applyAlignment="1">
      <alignment horizontal="left" vertical="top" wrapText="1"/>
    </xf>
    <xf numFmtId="0" fontId="8" fillId="0" borderId="8" xfId="0" applyFont="1" applyFill="1" applyBorder="1" applyAlignment="1">
      <alignment horizontal="left" vertical="top" wrapText="1"/>
    </xf>
    <xf numFmtId="165" fontId="4" fillId="0" borderId="5" xfId="0" applyNumberFormat="1" applyFont="1" applyFill="1" applyBorder="1" applyAlignment="1">
      <alignment horizontal="center" vertical="top" wrapText="1"/>
    </xf>
    <xf numFmtId="165" fontId="4" fillId="0" borderId="6" xfId="0" applyNumberFormat="1" applyFont="1" applyFill="1" applyBorder="1" applyAlignment="1">
      <alignment horizontal="center" vertical="top" wrapText="1"/>
    </xf>
    <xf numFmtId="0" fontId="14" fillId="0" borderId="5" xfId="0" applyFont="1" applyFill="1" applyBorder="1" applyAlignment="1">
      <alignment horizontal="left" vertical="top" wrapText="1"/>
    </xf>
    <xf numFmtId="0" fontId="14" fillId="0" borderId="6" xfId="0" applyFont="1" applyFill="1" applyBorder="1" applyAlignment="1">
      <alignment horizontal="left" vertical="top" wrapText="1"/>
    </xf>
    <xf numFmtId="165" fontId="4" fillId="0" borderId="2" xfId="0" applyNumberFormat="1" applyFont="1" applyFill="1" applyBorder="1" applyAlignment="1">
      <alignment horizontal="left" vertical="center" wrapText="1"/>
    </xf>
    <xf numFmtId="165" fontId="4" fillId="0" borderId="4" xfId="0" applyNumberFormat="1" applyFont="1" applyFill="1" applyBorder="1" applyAlignment="1">
      <alignment horizontal="left" vertical="center" wrapText="1"/>
    </xf>
    <xf numFmtId="164" fontId="4" fillId="0" borderId="2" xfId="0" applyNumberFormat="1" applyFont="1" applyFill="1" applyBorder="1" applyAlignment="1">
      <alignment horizontal="center" vertical="center" shrinkToFit="1"/>
    </xf>
    <xf numFmtId="164" fontId="4" fillId="0" borderId="3" xfId="0" applyNumberFormat="1" applyFont="1" applyFill="1" applyBorder="1" applyAlignment="1">
      <alignment horizontal="center" vertical="center" shrinkToFit="1"/>
    </xf>
    <xf numFmtId="164" fontId="4" fillId="0" borderId="4" xfId="0" applyNumberFormat="1" applyFont="1" applyFill="1" applyBorder="1" applyAlignment="1">
      <alignment horizontal="center" vertical="center" shrinkToFit="1"/>
    </xf>
    <xf numFmtId="0" fontId="20" fillId="0" borderId="0" xfId="0" applyFont="1" applyFill="1" applyAlignment="1">
      <alignment horizontal="center" vertical="center" wrapText="1"/>
    </xf>
    <xf numFmtId="0" fontId="2" fillId="0" borderId="0" xfId="0" applyFont="1" applyFill="1" applyAlignment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66FFFF"/>
      <color rgb="FF00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1"/>
  <sheetViews>
    <sheetView tabSelected="1" zoomScale="70" zoomScaleNormal="70" zoomScaleSheetLayoutView="70" workbookViewId="0">
      <selection activeCell="C11" sqref="C11"/>
    </sheetView>
  </sheetViews>
  <sheetFormatPr defaultColWidth="9.140625" defaultRowHeight="18.75"/>
  <cols>
    <col min="1" max="1" width="7.5703125" style="1" customWidth="1"/>
    <col min="2" max="2" width="38.7109375" style="1" customWidth="1"/>
    <col min="3" max="5" width="19" style="94" bestFit="1" customWidth="1"/>
    <col min="6" max="6" width="21.28515625" style="95" bestFit="1" customWidth="1"/>
    <col min="7" max="8" width="19" style="94" bestFit="1" customWidth="1"/>
    <col min="9" max="9" width="17.5703125" style="94" bestFit="1" customWidth="1"/>
    <col min="10" max="10" width="19" style="95" bestFit="1" customWidth="1"/>
    <col min="11" max="11" width="20.85546875" style="3" customWidth="1"/>
    <col min="12" max="12" width="123.7109375" style="1" customWidth="1"/>
    <col min="13" max="13" width="7.42578125" style="1" hidden="1" customWidth="1"/>
    <col min="14" max="14" width="10.140625" style="1" hidden="1" customWidth="1"/>
    <col min="15" max="15" width="9.140625" style="1" hidden="1" customWidth="1"/>
    <col min="16" max="16" width="1.42578125" style="81" hidden="1" customWidth="1"/>
    <col min="17" max="17" width="17.42578125" style="84" hidden="1" customWidth="1"/>
    <col min="18" max="18" width="15.42578125" style="1" hidden="1" customWidth="1"/>
    <col min="19" max="19" width="13.28515625" style="1" hidden="1" customWidth="1"/>
    <col min="20" max="20" width="0" style="1" hidden="1" customWidth="1"/>
    <col min="21" max="21" width="14" style="1" hidden="1" customWidth="1"/>
    <col min="22" max="16384" width="9.140625" style="1"/>
  </cols>
  <sheetData>
    <row r="1" spans="1:19" ht="33.75" customHeight="1">
      <c r="A1" s="186" t="s">
        <v>96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</row>
    <row r="2" spans="1:19" ht="34.5" customHeight="1">
      <c r="A2" s="186" t="s">
        <v>117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</row>
    <row r="3" spans="1:19" ht="20.25" customHeight="1">
      <c r="A3" s="5"/>
      <c r="B3" s="5"/>
      <c r="K3" s="66"/>
      <c r="L3" s="153" t="s">
        <v>16</v>
      </c>
    </row>
    <row r="4" spans="1:19" s="6" customFormat="1" ht="30" customHeight="1">
      <c r="A4" s="171" t="s">
        <v>17</v>
      </c>
      <c r="B4" s="171" t="s">
        <v>18</v>
      </c>
      <c r="C4" s="183" t="s">
        <v>19</v>
      </c>
      <c r="D4" s="184"/>
      <c r="E4" s="184"/>
      <c r="F4" s="185"/>
      <c r="G4" s="183" t="s">
        <v>0</v>
      </c>
      <c r="H4" s="184"/>
      <c r="I4" s="184"/>
      <c r="J4" s="185"/>
      <c r="K4" s="173" t="s">
        <v>89</v>
      </c>
      <c r="L4" s="171" t="s">
        <v>20</v>
      </c>
      <c r="M4" s="6" t="s">
        <v>91</v>
      </c>
      <c r="P4" s="81"/>
      <c r="Q4" s="89"/>
    </row>
    <row r="5" spans="1:19" s="6" customFormat="1" ht="28.5" customHeight="1">
      <c r="A5" s="172"/>
      <c r="B5" s="172"/>
      <c r="C5" s="96" t="s">
        <v>21</v>
      </c>
      <c r="D5" s="96" t="s">
        <v>22</v>
      </c>
      <c r="E5" s="96" t="s">
        <v>23</v>
      </c>
      <c r="F5" s="96" t="s">
        <v>24</v>
      </c>
      <c r="G5" s="96" t="s">
        <v>21</v>
      </c>
      <c r="H5" s="96" t="s">
        <v>22</v>
      </c>
      <c r="I5" s="96" t="s">
        <v>23</v>
      </c>
      <c r="J5" s="96" t="s">
        <v>24</v>
      </c>
      <c r="K5" s="174"/>
      <c r="L5" s="172"/>
      <c r="P5" s="81"/>
      <c r="Q5" s="89"/>
    </row>
    <row r="6" spans="1:19" s="92" customFormat="1" ht="18.75" customHeight="1">
      <c r="A6" s="90">
        <v>1</v>
      </c>
      <c r="B6" s="91">
        <v>2</v>
      </c>
      <c r="C6" s="134">
        <v>3</v>
      </c>
      <c r="D6" s="134">
        <v>4</v>
      </c>
      <c r="E6" s="134">
        <v>5</v>
      </c>
      <c r="F6" s="134">
        <v>6</v>
      </c>
      <c r="G6" s="134">
        <v>7</v>
      </c>
      <c r="H6" s="134">
        <v>8</v>
      </c>
      <c r="I6" s="134">
        <v>9</v>
      </c>
      <c r="J6" s="134">
        <v>10</v>
      </c>
      <c r="K6" s="91">
        <v>11</v>
      </c>
      <c r="L6" s="91">
        <v>12</v>
      </c>
      <c r="P6" s="93"/>
      <c r="Q6" s="135"/>
    </row>
    <row r="7" spans="1:19" ht="159" customHeight="1">
      <c r="A7" s="82" t="s">
        <v>25</v>
      </c>
      <c r="B7" s="31" t="s">
        <v>93</v>
      </c>
      <c r="C7" s="97">
        <f>14175.42699-87.7-2127.9</f>
        <v>11959.82699</v>
      </c>
      <c r="D7" s="97">
        <v>2011.3</v>
      </c>
      <c r="E7" s="97">
        <v>230.6</v>
      </c>
      <c r="F7" s="97">
        <f>E7+D7+C7</f>
        <v>14201.726989999999</v>
      </c>
      <c r="G7" s="97">
        <v>8442.2093299999997</v>
      </c>
      <c r="H7" s="97">
        <v>1558.10907</v>
      </c>
      <c r="I7" s="97">
        <v>230.56100000000001</v>
      </c>
      <c r="J7" s="97">
        <f>G7+H7+I7</f>
        <v>10230.8794</v>
      </c>
      <c r="K7" s="67">
        <f>J7/F7*100</f>
        <v>72.039685083398439</v>
      </c>
      <c r="L7" s="9" t="s">
        <v>123</v>
      </c>
      <c r="Q7" s="84">
        <f>53+953.9</f>
        <v>1006.9</v>
      </c>
    </row>
    <row r="8" spans="1:19" ht="67.5" customHeight="1">
      <c r="A8" s="124"/>
      <c r="B8" s="125"/>
      <c r="C8" s="113"/>
      <c r="D8" s="113"/>
      <c r="E8" s="113"/>
      <c r="F8" s="113"/>
      <c r="G8" s="113"/>
      <c r="H8" s="113"/>
      <c r="I8" s="113"/>
      <c r="J8" s="113"/>
      <c r="K8" s="69"/>
      <c r="L8" s="15" t="s">
        <v>124</v>
      </c>
      <c r="Q8" s="84">
        <f>415.2+30</f>
        <v>445.2</v>
      </c>
    </row>
    <row r="9" spans="1:19" ht="235.5" customHeight="1">
      <c r="A9" s="28"/>
      <c r="B9" s="62"/>
      <c r="C9" s="112"/>
      <c r="D9" s="127"/>
      <c r="E9" s="127"/>
      <c r="F9" s="128"/>
      <c r="G9" s="127"/>
      <c r="H9" s="127"/>
      <c r="I9" s="127"/>
      <c r="J9" s="128"/>
      <c r="K9" s="71"/>
      <c r="L9" s="33" t="s">
        <v>125</v>
      </c>
      <c r="Q9" s="126">
        <f>4346.8+9.9+1194.1+77.2+332.2+126.4+783.9+2.2+22+159.2+26.1</f>
        <v>7079.9999999999982</v>
      </c>
      <c r="R9" s="1">
        <v>143</v>
      </c>
      <c r="S9" s="1">
        <f>439.4+132.7+886.7+93+3.4+0.6</f>
        <v>1555.8</v>
      </c>
    </row>
    <row r="10" spans="1:19" ht="81" customHeight="1">
      <c r="A10" s="11" t="s">
        <v>26</v>
      </c>
      <c r="B10" s="12" t="s">
        <v>88</v>
      </c>
      <c r="C10" s="98">
        <v>48</v>
      </c>
      <c r="D10" s="98"/>
      <c r="E10" s="98"/>
      <c r="F10" s="98">
        <f>E10+D10+C10</f>
        <v>48</v>
      </c>
      <c r="G10" s="98">
        <v>35.178980000000003</v>
      </c>
      <c r="H10" s="98"/>
      <c r="I10" s="98"/>
      <c r="J10" s="98">
        <f>SUM(G10:I10)</f>
        <v>35.178980000000003</v>
      </c>
      <c r="K10" s="67">
        <f>J10/F10*100</f>
        <v>73.289541666666665</v>
      </c>
      <c r="L10" s="136" t="s">
        <v>100</v>
      </c>
      <c r="Q10" s="84">
        <v>35.200000000000003</v>
      </c>
    </row>
    <row r="11" spans="1:19" ht="57" customHeight="1">
      <c r="A11" s="11" t="s">
        <v>27</v>
      </c>
      <c r="B11" s="13" t="s">
        <v>87</v>
      </c>
      <c r="C11" s="98">
        <f>C12+C39+C44</f>
        <v>401644.34113000002</v>
      </c>
      <c r="D11" s="95">
        <f>D12+D39+D44</f>
        <v>632383.9196299999</v>
      </c>
      <c r="E11" s="98">
        <f>E12+E39+E44</f>
        <v>71229.300999999992</v>
      </c>
      <c r="F11" s="98">
        <f>F12+F39+F44-0.02</f>
        <v>1105257.5417599999</v>
      </c>
      <c r="G11" s="98">
        <f>G12+G39+G44</f>
        <v>266035.41186999995</v>
      </c>
      <c r="H11" s="98">
        <f>H12+H39+H44</f>
        <v>455640.19818000001</v>
      </c>
      <c r="I11" s="98">
        <f>I12+I39+I44</f>
        <v>49312.959110000003</v>
      </c>
      <c r="J11" s="98">
        <f>J12+J39+J44</f>
        <v>770988.56915999996</v>
      </c>
      <c r="K11" s="68">
        <f>J11*100/F11</f>
        <v>69.756463089343526</v>
      </c>
      <c r="L11" s="9"/>
    </row>
    <row r="12" spans="1:19" ht="120" customHeight="1">
      <c r="A12" s="7" t="s">
        <v>61</v>
      </c>
      <c r="B12" s="9" t="s">
        <v>34</v>
      </c>
      <c r="C12" s="99">
        <v>338730.01621999999</v>
      </c>
      <c r="D12" s="99">
        <f>625389.65213-5.7325+7000</f>
        <v>632383.9196299999</v>
      </c>
      <c r="E12" s="99">
        <f>71796.821-567.52</f>
        <v>71229.300999999992</v>
      </c>
      <c r="F12" s="100">
        <f>E12+D12+C12</f>
        <v>1042343.2368499999</v>
      </c>
      <c r="G12" s="99">
        <v>224072.81581999999</v>
      </c>
      <c r="H12" s="99">
        <v>455640.19818000001</v>
      </c>
      <c r="I12" s="99">
        <v>49312.959110000003</v>
      </c>
      <c r="J12" s="100">
        <f>G12+H12+I12</f>
        <v>729025.97311000002</v>
      </c>
      <c r="K12" s="67">
        <f>J12*100/F12</f>
        <v>69.941066180190674</v>
      </c>
      <c r="L12" s="9" t="s">
        <v>152</v>
      </c>
      <c r="Q12" s="84">
        <f>22406.4+45.6+131.2+6893.9+1471.4+501+3543.4+176.1+1805.3</f>
        <v>36974.300000000003</v>
      </c>
    </row>
    <row r="13" spans="1:19" ht="37.5" hidden="1">
      <c r="A13" s="14"/>
      <c r="B13" s="15"/>
      <c r="C13" s="101"/>
      <c r="D13" s="101"/>
      <c r="E13" s="101"/>
      <c r="F13" s="102"/>
      <c r="G13" s="101"/>
      <c r="H13" s="101"/>
      <c r="I13" s="101"/>
      <c r="J13" s="102"/>
      <c r="K13" s="69"/>
      <c r="L13" s="87" t="s">
        <v>97</v>
      </c>
    </row>
    <row r="14" spans="1:19" ht="143.25" customHeight="1">
      <c r="A14" s="14"/>
      <c r="B14" s="15"/>
      <c r="C14" s="101"/>
      <c r="D14" s="101"/>
      <c r="E14" s="101"/>
      <c r="F14" s="102"/>
      <c r="G14" s="101"/>
      <c r="H14" s="101"/>
      <c r="I14" s="101"/>
      <c r="J14" s="102"/>
      <c r="K14" s="69"/>
      <c r="L14" s="15" t="s">
        <v>179</v>
      </c>
      <c r="Q14" s="84">
        <f>36.8+178.6+206.1+509.5+2805.1</f>
        <v>3736.1</v>
      </c>
    </row>
    <row r="15" spans="1:19" ht="403.5" customHeight="1">
      <c r="A15" s="16"/>
      <c r="B15" s="15"/>
      <c r="C15" s="101"/>
      <c r="D15" s="101"/>
      <c r="E15" s="101"/>
      <c r="F15" s="102"/>
      <c r="G15" s="101"/>
      <c r="H15" s="101"/>
      <c r="I15" s="101"/>
      <c r="J15" s="102"/>
      <c r="K15" s="69"/>
      <c r="L15" s="15" t="s">
        <v>153</v>
      </c>
      <c r="P15" s="81">
        <f>10+170.6+386.7+925.5+1.5+7.2+108.8+63.8+29.3+30.5+15</f>
        <v>1748.8999999999999</v>
      </c>
      <c r="Q15" s="84">
        <f>1204.5+317.1+412.8+386.6+925.5+1.5+22.2+15.6+162.4+1131.3+96.3+29.3+2937.6+767.9+748.7+50+82.6+15+825+23.4</f>
        <v>10155.300000000001</v>
      </c>
    </row>
    <row r="16" spans="1:19" ht="142.5" customHeight="1">
      <c r="A16" s="16"/>
      <c r="B16" s="15"/>
      <c r="C16" s="101"/>
      <c r="D16" s="101"/>
      <c r="E16" s="101"/>
      <c r="F16" s="102"/>
      <c r="G16" s="101"/>
      <c r="H16" s="101"/>
      <c r="I16" s="101"/>
      <c r="J16" s="102"/>
      <c r="K16" s="69"/>
      <c r="L16" s="15" t="s">
        <v>154</v>
      </c>
    </row>
    <row r="17" spans="1:21" hidden="1">
      <c r="A17" s="16"/>
      <c r="B17" s="15"/>
      <c r="C17" s="101"/>
      <c r="D17" s="101"/>
      <c r="E17" s="101"/>
      <c r="F17" s="102"/>
      <c r="G17" s="101"/>
      <c r="H17" s="101"/>
      <c r="I17" s="101"/>
      <c r="J17" s="102"/>
      <c r="K17" s="69"/>
      <c r="L17" s="15"/>
    </row>
    <row r="18" spans="1:21" ht="82.5" customHeight="1">
      <c r="A18" s="16"/>
      <c r="B18" s="15"/>
      <c r="C18" s="101"/>
      <c r="D18" s="101"/>
      <c r="E18" s="101"/>
      <c r="F18" s="102"/>
      <c r="G18" s="101"/>
      <c r="H18" s="101"/>
      <c r="I18" s="101"/>
      <c r="J18" s="102"/>
      <c r="K18" s="69"/>
      <c r="L18" s="15" t="s">
        <v>155</v>
      </c>
      <c r="P18" s="81">
        <f>20155.5+8.8+536.6+296.1</f>
        <v>20996.999999999996</v>
      </c>
      <c r="Q18" s="84">
        <f>83635.8+29.4+1200.8+1313.2</f>
        <v>86179.199999999997</v>
      </c>
    </row>
    <row r="19" spans="1:21" ht="45" customHeight="1">
      <c r="A19" s="16"/>
      <c r="B19" s="15"/>
      <c r="C19" s="101"/>
      <c r="D19" s="101"/>
      <c r="E19" s="101"/>
      <c r="F19" s="102"/>
      <c r="G19" s="101"/>
      <c r="H19" s="101"/>
      <c r="I19" s="101"/>
      <c r="J19" s="102"/>
      <c r="K19" s="69"/>
      <c r="L19" s="87" t="s">
        <v>156</v>
      </c>
      <c r="Q19" s="84">
        <f>1020.4+1020.4</f>
        <v>2040.8</v>
      </c>
    </row>
    <row r="20" spans="1:21" hidden="1">
      <c r="A20" s="16"/>
      <c r="B20" s="15"/>
      <c r="C20" s="101"/>
      <c r="D20" s="101"/>
      <c r="E20" s="101"/>
      <c r="F20" s="102"/>
      <c r="G20" s="101"/>
      <c r="H20" s="101"/>
      <c r="I20" s="101"/>
      <c r="J20" s="102"/>
      <c r="K20" s="69"/>
      <c r="L20" s="15"/>
    </row>
    <row r="21" spans="1:21" hidden="1">
      <c r="A21" s="16"/>
      <c r="B21" s="15"/>
      <c r="C21" s="101"/>
      <c r="D21" s="101"/>
      <c r="E21" s="101"/>
      <c r="F21" s="102"/>
      <c r="G21" s="101"/>
      <c r="H21" s="101"/>
      <c r="I21" s="101"/>
      <c r="J21" s="102"/>
      <c r="K21" s="69"/>
      <c r="L21" s="87"/>
    </row>
    <row r="22" spans="1:21" ht="121.5" customHeight="1">
      <c r="A22" s="16"/>
      <c r="B22" s="15"/>
      <c r="C22" s="101"/>
      <c r="D22" s="101"/>
      <c r="E22" s="101"/>
      <c r="F22" s="102"/>
      <c r="G22" s="101"/>
      <c r="H22" s="101"/>
      <c r="I22" s="101"/>
      <c r="J22" s="102"/>
      <c r="K22" s="69"/>
      <c r="L22" s="15" t="s">
        <v>157</v>
      </c>
      <c r="P22" s="81">
        <f>11106.2+48.1+809.1+14598.1+17.7+2261+881.6+2263.8+466.2+3128.3</f>
        <v>35580.1</v>
      </c>
      <c r="Q22" s="84">
        <f>34748.7+177.5+1641.4+25892.7+54.9+7170.9+2824.7+16224.6+955.8+8578.7</f>
        <v>98269.900000000009</v>
      </c>
    </row>
    <row r="23" spans="1:21" ht="63" customHeight="1">
      <c r="A23" s="16"/>
      <c r="B23" s="15"/>
      <c r="C23" s="101"/>
      <c r="D23" s="101"/>
      <c r="E23" s="101"/>
      <c r="F23" s="102"/>
      <c r="G23" s="101"/>
      <c r="H23" s="101"/>
      <c r="I23" s="101"/>
      <c r="J23" s="102"/>
      <c r="K23" s="69"/>
      <c r="L23" s="87" t="s">
        <v>98</v>
      </c>
      <c r="Q23" s="84">
        <v>1.1000000000000001</v>
      </c>
    </row>
    <row r="24" spans="1:21" ht="136.5" customHeight="1">
      <c r="A24" s="16"/>
      <c r="B24" s="15"/>
      <c r="C24" s="101"/>
      <c r="D24" s="101"/>
      <c r="E24" s="101"/>
      <c r="F24" s="102"/>
      <c r="G24" s="101"/>
      <c r="H24" s="101"/>
      <c r="I24" s="101"/>
      <c r="J24" s="102"/>
      <c r="K24" s="69"/>
      <c r="L24" s="15" t="s">
        <v>158</v>
      </c>
      <c r="Q24" s="84">
        <f>56.8+398.5+172.4</f>
        <v>627.70000000000005</v>
      </c>
    </row>
    <row r="25" spans="1:21" ht="370.5" customHeight="1">
      <c r="A25" s="16"/>
      <c r="B25" s="15"/>
      <c r="C25" s="101"/>
      <c r="D25" s="101"/>
      <c r="E25" s="101"/>
      <c r="F25" s="102"/>
      <c r="G25" s="101"/>
      <c r="H25" s="101"/>
      <c r="I25" s="101"/>
      <c r="J25" s="102"/>
      <c r="K25" s="70"/>
      <c r="L25" s="146" t="s">
        <v>174</v>
      </c>
      <c r="P25" s="81">
        <f>224.7+43.9+1289.2+1084.5+125+38+266+199.3+115.6+586.3+502.5+120.5</f>
        <v>4595.5</v>
      </c>
      <c r="Q25" s="84">
        <f>1422+3+3003.7+3507+1351.9+601.7+38+3467.4+265</f>
        <v>13659.7</v>
      </c>
      <c r="R25" s="84"/>
      <c r="U25" s="84">
        <f>Q25+Q26+Q28+Q29+Q30+Q27</f>
        <v>43619.399999999994</v>
      </c>
    </row>
    <row r="26" spans="1:21" ht="348.75" customHeight="1">
      <c r="A26" s="16"/>
      <c r="B26" s="15"/>
      <c r="C26" s="101"/>
      <c r="D26" s="101"/>
      <c r="E26" s="101"/>
      <c r="F26" s="102"/>
      <c r="G26" s="101"/>
      <c r="H26" s="101"/>
      <c r="I26" s="101"/>
      <c r="J26" s="102"/>
      <c r="K26" s="70"/>
      <c r="L26" s="146" t="s">
        <v>176</v>
      </c>
      <c r="P26" s="81">
        <f>66.2+1.7+85.5+3106.5+57+262.5+163+700.8+30.4+34+20.2+30.3</f>
        <v>4558.0999999999995</v>
      </c>
      <c r="Q26" s="84">
        <f>265.4+586.3+542.5+150.4+162.7+80+35.6+85.5+4416.2</f>
        <v>6324.5999999999995</v>
      </c>
      <c r="R26" s="145"/>
    </row>
    <row r="27" spans="1:21" ht="335.25" customHeight="1">
      <c r="A27" s="16"/>
      <c r="B27" s="15"/>
      <c r="C27" s="101"/>
      <c r="D27" s="101"/>
      <c r="E27" s="101"/>
      <c r="F27" s="102"/>
      <c r="G27" s="101"/>
      <c r="H27" s="101"/>
      <c r="I27" s="101"/>
      <c r="J27" s="102"/>
      <c r="K27" s="70"/>
      <c r="L27" s="151" t="s">
        <v>175</v>
      </c>
      <c r="Q27" s="84">
        <f>698.2+46.2+151+12797.9+262.5+145.4+163+199+311.3+1537.6+1692.7</f>
        <v>18004.8</v>
      </c>
    </row>
    <row r="28" spans="1:21" ht="181.5" customHeight="1">
      <c r="A28" s="16"/>
      <c r="B28" s="15"/>
      <c r="C28" s="101"/>
      <c r="D28" s="101"/>
      <c r="E28" s="101"/>
      <c r="F28" s="102"/>
      <c r="G28" s="101"/>
      <c r="H28" s="101"/>
      <c r="I28" s="101"/>
      <c r="J28" s="102"/>
      <c r="K28" s="70"/>
      <c r="L28" s="151" t="s">
        <v>159</v>
      </c>
      <c r="Q28" s="84">
        <f>26.5+22.2+37.4+46+34+260.3</f>
        <v>426.4</v>
      </c>
    </row>
    <row r="29" spans="1:21" ht="233.25" customHeight="1">
      <c r="A29" s="16"/>
      <c r="B29" s="15"/>
      <c r="C29" s="101"/>
      <c r="D29" s="101"/>
      <c r="E29" s="101"/>
      <c r="F29" s="102"/>
      <c r="G29" s="101"/>
      <c r="H29" s="101"/>
      <c r="I29" s="101"/>
      <c r="J29" s="102"/>
      <c r="K29" s="70"/>
      <c r="L29" s="146" t="s">
        <v>177</v>
      </c>
      <c r="Q29" s="84">
        <f>30+23.7+10+9.5+10+102.8+3254.5+400.7+116+1089.5+39.6</f>
        <v>5086.3</v>
      </c>
    </row>
    <row r="30" spans="1:21" ht="99" customHeight="1">
      <c r="A30" s="16"/>
      <c r="B30" s="15"/>
      <c r="C30" s="101"/>
      <c r="D30" s="101"/>
      <c r="E30" s="101"/>
      <c r="F30" s="102"/>
      <c r="G30" s="101"/>
      <c r="H30" s="101"/>
      <c r="I30" s="101"/>
      <c r="J30" s="102"/>
      <c r="K30" s="70"/>
      <c r="L30" s="146" t="s">
        <v>160</v>
      </c>
      <c r="Q30" s="84">
        <f>20.2+30.3+37.1+15+15</f>
        <v>117.6</v>
      </c>
    </row>
    <row r="31" spans="1:21" ht="98.25" customHeight="1">
      <c r="A31" s="16"/>
      <c r="B31" s="15"/>
      <c r="C31" s="101"/>
      <c r="D31" s="101"/>
      <c r="E31" s="101"/>
      <c r="F31" s="102"/>
      <c r="G31" s="101"/>
      <c r="H31" s="101"/>
      <c r="I31" s="101"/>
      <c r="J31" s="102"/>
      <c r="K31" s="70"/>
      <c r="L31" s="146" t="s">
        <v>161</v>
      </c>
      <c r="Q31" s="84">
        <v>26804.799999999999</v>
      </c>
    </row>
    <row r="32" spans="1:21" ht="99" customHeight="1">
      <c r="A32" s="16"/>
      <c r="B32" s="15"/>
      <c r="C32" s="101"/>
      <c r="D32" s="101"/>
      <c r="E32" s="101"/>
      <c r="F32" s="102"/>
      <c r="G32" s="101"/>
      <c r="H32" s="101"/>
      <c r="I32" s="101"/>
      <c r="J32" s="102"/>
      <c r="K32" s="70"/>
      <c r="L32" s="146" t="s">
        <v>162</v>
      </c>
      <c r="Q32" s="84">
        <f>344879.5+100.7+2327.6+3759.3+4196.4</f>
        <v>355263.5</v>
      </c>
    </row>
    <row r="33" spans="1:19" ht="84" customHeight="1">
      <c r="A33" s="16"/>
      <c r="B33" s="15"/>
      <c r="C33" s="101"/>
      <c r="D33" s="101"/>
      <c r="E33" s="101"/>
      <c r="F33" s="102"/>
      <c r="G33" s="101"/>
      <c r="H33" s="101"/>
      <c r="I33" s="101"/>
      <c r="J33" s="102"/>
      <c r="K33" s="70"/>
      <c r="L33" s="29" t="s">
        <v>104</v>
      </c>
      <c r="Q33" s="84">
        <f>3061.2</f>
        <v>3061.2</v>
      </c>
    </row>
    <row r="34" spans="1:19" ht="69" customHeight="1">
      <c r="A34" s="16"/>
      <c r="B34" s="15"/>
      <c r="C34" s="101"/>
      <c r="D34" s="101"/>
      <c r="E34" s="101"/>
      <c r="F34" s="102"/>
      <c r="G34" s="101"/>
      <c r="H34" s="101"/>
      <c r="I34" s="101"/>
      <c r="J34" s="102"/>
      <c r="K34" s="70"/>
      <c r="L34" s="146" t="s">
        <v>164</v>
      </c>
      <c r="Q34" s="84">
        <f>531.5+1334.1+168.7+1670+15029.7</f>
        <v>18734</v>
      </c>
    </row>
    <row r="35" spans="1:19" ht="50.25" customHeight="1">
      <c r="A35" s="16"/>
      <c r="B35" s="15"/>
      <c r="C35" s="101"/>
      <c r="D35" s="101"/>
      <c r="E35" s="101"/>
      <c r="F35" s="102"/>
      <c r="G35" s="101"/>
      <c r="H35" s="101"/>
      <c r="I35" s="101"/>
      <c r="J35" s="102"/>
      <c r="K35" s="70"/>
      <c r="L35" s="146" t="s">
        <v>163</v>
      </c>
      <c r="Q35" s="84">
        <f>120+2.4</f>
        <v>122.4</v>
      </c>
    </row>
    <row r="36" spans="1:19" ht="184.5" customHeight="1">
      <c r="A36" s="17"/>
      <c r="B36" s="15"/>
      <c r="C36" s="101"/>
      <c r="D36" s="101"/>
      <c r="E36" s="101"/>
      <c r="F36" s="102"/>
      <c r="G36" s="101"/>
      <c r="H36" s="101"/>
      <c r="I36" s="101"/>
      <c r="J36" s="102"/>
      <c r="K36" s="70"/>
      <c r="L36" s="146" t="s">
        <v>165</v>
      </c>
      <c r="Q36" s="84">
        <f>7236+41.9+524.9+223.7+25.8+260.3+36.6</f>
        <v>8349.1999999999989</v>
      </c>
      <c r="R36" s="1">
        <f>18491+79.1+5.3+311.3+35+577.9+747+38.3+539.5+512.2</f>
        <v>21336.6</v>
      </c>
    </row>
    <row r="37" spans="1:19" ht="180.75" customHeight="1">
      <c r="A37" s="17"/>
      <c r="B37" s="15"/>
      <c r="C37" s="101"/>
      <c r="D37" s="101"/>
      <c r="E37" s="101"/>
      <c r="F37" s="102"/>
      <c r="G37" s="101"/>
      <c r="H37" s="101"/>
      <c r="I37" s="101"/>
      <c r="J37" s="102"/>
      <c r="K37" s="70"/>
      <c r="L37" s="146" t="s">
        <v>166</v>
      </c>
      <c r="Q37" s="84">
        <f>361+1931.3+1931.3+3061.2</f>
        <v>7284.8</v>
      </c>
    </row>
    <row r="38" spans="1:19" ht="138.75" customHeight="1">
      <c r="A38" s="18"/>
      <c r="B38" s="15"/>
      <c r="C38" s="101"/>
      <c r="D38" s="103"/>
      <c r="E38" s="101"/>
      <c r="F38" s="102"/>
      <c r="G38" s="101"/>
      <c r="H38" s="101"/>
      <c r="I38" s="101"/>
      <c r="J38" s="102"/>
      <c r="K38" s="70"/>
      <c r="L38" s="147" t="s">
        <v>167</v>
      </c>
      <c r="Q38" s="84">
        <f>3406.6+2997.9+61.2</f>
        <v>6465.7</v>
      </c>
    </row>
    <row r="39" spans="1:19" ht="273.75" customHeight="1">
      <c r="A39" s="7" t="s">
        <v>62</v>
      </c>
      <c r="B39" s="19" t="s">
        <v>1</v>
      </c>
      <c r="C39" s="104">
        <v>62652.324910000003</v>
      </c>
      <c r="D39" s="104"/>
      <c r="E39" s="104"/>
      <c r="F39" s="105">
        <f>E39+D39+C39</f>
        <v>62652.324910000003</v>
      </c>
      <c r="G39" s="104">
        <v>41813.227290000003</v>
      </c>
      <c r="H39" s="104"/>
      <c r="I39" s="104"/>
      <c r="J39" s="97">
        <f>I39+H39+G39</f>
        <v>41813.227290000003</v>
      </c>
      <c r="K39" s="67">
        <f>J39*100/F39</f>
        <v>66.738508666780774</v>
      </c>
      <c r="L39" s="9" t="s">
        <v>173</v>
      </c>
      <c r="Q39" s="84">
        <f>10150.7+25.6+158.2+67.2+78.6+1.1+33.4+71.5</f>
        <v>10586.300000000003</v>
      </c>
      <c r="R39" s="150">
        <f>9657.3+14.8+394.5+24.6+62.6+20.2</f>
        <v>10174</v>
      </c>
      <c r="S39" s="1">
        <f>15878.6+19.4+502.4+296.2+79+92.8+60.1+267.8</f>
        <v>17196.3</v>
      </c>
    </row>
    <row r="40" spans="1:19" ht="42" hidden="1" customHeight="1">
      <c r="A40" s="14"/>
      <c r="B40" s="20"/>
      <c r="C40" s="114"/>
      <c r="D40" s="114"/>
      <c r="E40" s="114"/>
      <c r="F40" s="116"/>
      <c r="G40" s="114"/>
      <c r="H40" s="114"/>
      <c r="I40" s="114"/>
      <c r="J40" s="113"/>
      <c r="K40" s="69"/>
      <c r="L40" s="15" t="s">
        <v>92</v>
      </c>
    </row>
    <row r="41" spans="1:19" ht="219" customHeight="1">
      <c r="A41" s="17"/>
      <c r="B41" s="20"/>
      <c r="C41" s="114"/>
      <c r="D41" s="114"/>
      <c r="E41" s="114"/>
      <c r="F41" s="116"/>
      <c r="G41" s="114"/>
      <c r="H41" s="114"/>
      <c r="I41" s="114"/>
      <c r="J41" s="113"/>
      <c r="K41" s="69"/>
      <c r="L41" s="15" t="s">
        <v>168</v>
      </c>
      <c r="Q41" s="84">
        <f>45.4+81.6+214.2+76+120.1+19.1+843.7+3.5+25.2+45.7</f>
        <v>1474.5</v>
      </c>
    </row>
    <row r="42" spans="1:19" ht="125.25" customHeight="1">
      <c r="A42" s="17"/>
      <c r="B42" s="20"/>
      <c r="C42" s="114"/>
      <c r="D42" s="114"/>
      <c r="E42" s="114"/>
      <c r="F42" s="116"/>
      <c r="G42" s="114"/>
      <c r="H42" s="114"/>
      <c r="I42" s="114"/>
      <c r="J42" s="113"/>
      <c r="K42" s="69"/>
      <c r="L42" s="15" t="s">
        <v>169</v>
      </c>
      <c r="Q42" s="84">
        <f>11.4+7.5+80+14.5</f>
        <v>113.4</v>
      </c>
    </row>
    <row r="43" spans="1:19" ht="79.5" customHeight="1">
      <c r="A43" s="18"/>
      <c r="B43" s="21"/>
      <c r="C43" s="129"/>
      <c r="D43" s="130"/>
      <c r="E43" s="114"/>
      <c r="F43" s="116"/>
      <c r="G43" s="114"/>
      <c r="H43" s="114"/>
      <c r="I43" s="114"/>
      <c r="J43" s="113"/>
      <c r="K43" s="71"/>
      <c r="L43" s="15" t="s">
        <v>172</v>
      </c>
      <c r="Q43" s="84">
        <v>2268.6999999999998</v>
      </c>
    </row>
    <row r="44" spans="1:19" ht="395.25" customHeight="1">
      <c r="A44" s="22" t="s">
        <v>63</v>
      </c>
      <c r="B44" s="23" t="s">
        <v>37</v>
      </c>
      <c r="C44" s="106">
        <v>262</v>
      </c>
      <c r="D44" s="107"/>
      <c r="E44" s="106"/>
      <c r="F44" s="98">
        <f>E44+D44+C44</f>
        <v>262</v>
      </c>
      <c r="G44" s="108">
        <v>149.36876000000001</v>
      </c>
      <c r="H44" s="108"/>
      <c r="I44" s="108"/>
      <c r="J44" s="109">
        <f>I44+H44+G44</f>
        <v>149.36876000000001</v>
      </c>
      <c r="K44" s="72">
        <f>J44*100/F44</f>
        <v>57.010977099236641</v>
      </c>
      <c r="L44" s="9" t="s">
        <v>178</v>
      </c>
      <c r="Q44" s="84">
        <f>6+3+2+34+20+5+6+1+2+1+16+1+4+4+1+15+9.1+19.3</f>
        <v>149.4</v>
      </c>
    </row>
    <row r="45" spans="1:19" ht="250.5" hidden="1" customHeight="1">
      <c r="A45" s="7"/>
      <c r="B45" s="19"/>
      <c r="C45" s="104"/>
      <c r="D45" s="110"/>
      <c r="E45" s="104"/>
      <c r="F45" s="105"/>
      <c r="G45" s="111"/>
      <c r="H45" s="111"/>
      <c r="I45" s="111"/>
      <c r="J45" s="97"/>
      <c r="K45" s="67"/>
      <c r="L45" s="9"/>
    </row>
    <row r="46" spans="1:19" ht="303" customHeight="1">
      <c r="A46" s="24" t="s">
        <v>28</v>
      </c>
      <c r="B46" s="25" t="s">
        <v>86</v>
      </c>
      <c r="C46" s="105">
        <v>5184.7730000000001</v>
      </c>
      <c r="D46" s="105">
        <v>455</v>
      </c>
      <c r="E46" s="104"/>
      <c r="F46" s="105">
        <f>E46+D46+C46</f>
        <v>5639.7730000000001</v>
      </c>
      <c r="G46" s="105">
        <v>3780.4788199999998</v>
      </c>
      <c r="H46" s="105">
        <v>326.67482000000001</v>
      </c>
      <c r="I46" s="105"/>
      <c r="J46" s="105">
        <f>I46+H46+G46</f>
        <v>4107.1536399999995</v>
      </c>
      <c r="K46" s="73">
        <f>J46*100/F46</f>
        <v>72.824804118889176</v>
      </c>
      <c r="L46" s="9" t="s">
        <v>118</v>
      </c>
    </row>
    <row r="47" spans="1:19" ht="56.25">
      <c r="A47" s="24" t="s">
        <v>29</v>
      </c>
      <c r="B47" s="26" t="s">
        <v>85</v>
      </c>
      <c r="C47" s="98">
        <f t="shared" ref="C47:I47" si="0">C48+C57+C71+C75+C76</f>
        <v>104262.85309000002</v>
      </c>
      <c r="D47" s="98">
        <f t="shared" si="0"/>
        <v>471.911</v>
      </c>
      <c r="E47" s="98">
        <f t="shared" si="0"/>
        <v>165.816</v>
      </c>
      <c r="F47" s="98">
        <f t="shared" si="0"/>
        <v>104900.58009</v>
      </c>
      <c r="G47" s="98">
        <f t="shared" si="0"/>
        <v>70258.52227999999</v>
      </c>
      <c r="H47" s="98">
        <f t="shared" si="0"/>
        <v>320.75820999999996</v>
      </c>
      <c r="I47" s="98">
        <f t="shared" si="0"/>
        <v>165.81595999999999</v>
      </c>
      <c r="J47" s="98">
        <f>I47+H47+G47</f>
        <v>70745.096449999997</v>
      </c>
      <c r="K47" s="68">
        <f>J47*100/F47</f>
        <v>67.44013845233637</v>
      </c>
      <c r="L47" s="136"/>
    </row>
    <row r="48" spans="1:19" ht="137.25" customHeight="1">
      <c r="A48" s="7" t="s">
        <v>64</v>
      </c>
      <c r="B48" s="27" t="s">
        <v>3</v>
      </c>
      <c r="C48" s="111">
        <v>26686.379260000002</v>
      </c>
      <c r="D48" s="111"/>
      <c r="E48" s="111"/>
      <c r="F48" s="97">
        <f>E48+D48+C48</f>
        <v>26686.379260000002</v>
      </c>
      <c r="G48" s="111">
        <v>19167.41878</v>
      </c>
      <c r="H48" s="111"/>
      <c r="I48" s="111"/>
      <c r="J48" s="97">
        <f>I48+H48+G48</f>
        <v>19167.41878</v>
      </c>
      <c r="K48" s="67">
        <f>J48*100/F48</f>
        <v>71.824725989448439</v>
      </c>
      <c r="L48" s="9" t="s">
        <v>186</v>
      </c>
      <c r="Q48" s="84">
        <f>8862.3+2390.5+74.7+1166.6+260.4+284.5+90.7+258.4+32.7+119.9+243.8+5.5</f>
        <v>13790</v>
      </c>
    </row>
    <row r="49" spans="1:18" ht="387" customHeight="1">
      <c r="A49" s="14"/>
      <c r="B49" s="29"/>
      <c r="C49" s="112"/>
      <c r="D49" s="112"/>
      <c r="E49" s="112"/>
      <c r="F49" s="113"/>
      <c r="G49" s="112"/>
      <c r="H49" s="112"/>
      <c r="I49" s="112"/>
      <c r="J49" s="113"/>
      <c r="K49" s="69"/>
      <c r="L49" s="15" t="s">
        <v>181</v>
      </c>
      <c r="Q49" s="84">
        <f>18+559.25+15.4+15+7.5+10+26.4+15+12+7.4+1+11.25+24.4+8.3+10.34+5.75+14.35+271.16</f>
        <v>1032.5</v>
      </c>
      <c r="R49" s="80"/>
    </row>
    <row r="50" spans="1:18" ht="390" customHeight="1">
      <c r="A50" s="14"/>
      <c r="B50" s="29"/>
      <c r="C50" s="112"/>
      <c r="D50" s="112"/>
      <c r="E50" s="112"/>
      <c r="F50" s="113"/>
      <c r="G50" s="112"/>
      <c r="H50" s="112"/>
      <c r="I50" s="112"/>
      <c r="J50" s="113"/>
      <c r="K50" s="69"/>
      <c r="L50" s="15" t="s">
        <v>182</v>
      </c>
      <c r="Q50" s="84">
        <f>20.2+71.2+8.1+45.1+9.4+11.4+6+49.6+151.6+10.5+9+5+5.15+20+45.27+7+150.7+13.28+10</f>
        <v>648.5</v>
      </c>
    </row>
    <row r="51" spans="1:18" ht="37.5">
      <c r="A51" s="14"/>
      <c r="B51" s="29"/>
      <c r="C51" s="112"/>
      <c r="D51" s="112"/>
      <c r="E51" s="112"/>
      <c r="F51" s="113"/>
      <c r="G51" s="112"/>
      <c r="H51" s="112"/>
      <c r="I51" s="112"/>
      <c r="J51" s="113"/>
      <c r="K51" s="69"/>
      <c r="L51" s="15" t="s">
        <v>183</v>
      </c>
      <c r="Q51" s="84">
        <f>55+15.7</f>
        <v>70.7</v>
      </c>
    </row>
    <row r="52" spans="1:18" ht="156.75" customHeight="1">
      <c r="A52" s="14"/>
      <c r="B52" s="29"/>
      <c r="C52" s="112"/>
      <c r="D52" s="112"/>
      <c r="E52" s="112"/>
      <c r="F52" s="113"/>
      <c r="G52" s="112"/>
      <c r="H52" s="112"/>
      <c r="I52" s="112"/>
      <c r="J52" s="113"/>
      <c r="K52" s="69"/>
      <c r="L52" s="15" t="s">
        <v>184</v>
      </c>
      <c r="Q52" s="84">
        <f>46.2+215.4+212.9+99.5+1701.3</f>
        <v>2275.3000000000002</v>
      </c>
    </row>
    <row r="53" spans="1:18" ht="116.25" customHeight="1">
      <c r="A53" s="14"/>
      <c r="B53" s="29"/>
      <c r="C53" s="112"/>
      <c r="D53" s="112"/>
      <c r="E53" s="112"/>
      <c r="F53" s="113"/>
      <c r="G53" s="112"/>
      <c r="H53" s="112"/>
      <c r="I53" s="112"/>
      <c r="J53" s="113"/>
      <c r="K53" s="69"/>
      <c r="L53" s="15" t="s">
        <v>185</v>
      </c>
      <c r="Q53" s="84">
        <f>244.1+213.6+147.4+435.3+310</f>
        <v>1350.4</v>
      </c>
    </row>
    <row r="54" spans="1:18" ht="81.75" hidden="1" customHeight="1">
      <c r="A54" s="14"/>
      <c r="B54" s="29"/>
      <c r="C54" s="112"/>
      <c r="D54" s="112"/>
      <c r="E54" s="112"/>
      <c r="F54" s="113"/>
      <c r="G54" s="112"/>
      <c r="H54" s="112"/>
      <c r="I54" s="112"/>
      <c r="J54" s="113"/>
      <c r="K54" s="69"/>
      <c r="L54" s="87"/>
    </row>
    <row r="55" spans="1:18" ht="132.75" hidden="1" customHeight="1">
      <c r="A55" s="14"/>
      <c r="B55" s="29"/>
      <c r="C55" s="112"/>
      <c r="D55" s="112"/>
      <c r="E55" s="112"/>
      <c r="F55" s="113"/>
      <c r="G55" s="112"/>
      <c r="H55" s="112"/>
      <c r="I55" s="112"/>
      <c r="J55" s="113"/>
      <c r="K55" s="69"/>
      <c r="L55" s="87"/>
    </row>
    <row r="56" spans="1:18" ht="191.25" hidden="1" customHeight="1">
      <c r="A56" s="28"/>
      <c r="B56" s="29"/>
      <c r="C56" s="112"/>
      <c r="D56" s="112"/>
      <c r="E56" s="112"/>
      <c r="F56" s="113"/>
      <c r="G56" s="112"/>
      <c r="H56" s="112"/>
      <c r="I56" s="112"/>
      <c r="J56" s="113"/>
      <c r="K56" s="69"/>
      <c r="L56" s="137"/>
    </row>
    <row r="57" spans="1:18" ht="139.5" customHeight="1">
      <c r="A57" s="7" t="s">
        <v>65</v>
      </c>
      <c r="B57" s="30" t="s">
        <v>2</v>
      </c>
      <c r="C57" s="104">
        <v>45426.733480000003</v>
      </c>
      <c r="D57" s="104">
        <v>471.911</v>
      </c>
      <c r="E57" s="104">
        <v>165.816</v>
      </c>
      <c r="F57" s="105">
        <f>E57+D57+C57</f>
        <v>46064.460480000002</v>
      </c>
      <c r="G57" s="104">
        <v>28354.917010000001</v>
      </c>
      <c r="H57" s="104">
        <f>320.74821+0.01</f>
        <v>320.75820999999996</v>
      </c>
      <c r="I57" s="104">
        <v>165.81595999999999</v>
      </c>
      <c r="J57" s="105">
        <f>G57+I57+H57</f>
        <v>28841.491180000001</v>
      </c>
      <c r="K57" s="73">
        <f>J57*100/F57</f>
        <v>62.61115593120261</v>
      </c>
      <c r="L57" s="31" t="s">
        <v>194</v>
      </c>
      <c r="Q57" s="84">
        <f>14460.4+4110.3+142.4+646.5+120.4+149.6+67.6+5.2+30.6+5.2+10.8+191.1</f>
        <v>19940.099999999999</v>
      </c>
      <c r="R57" s="145">
        <f>Q57+Q58+Q60+Q61+Q62+Q63+Q65+Q66+Q67+Q68+Q64</f>
        <v>28841.5</v>
      </c>
    </row>
    <row r="58" spans="1:18" ht="348" customHeight="1">
      <c r="A58" s="14"/>
      <c r="B58" s="32"/>
      <c r="C58" s="114"/>
      <c r="D58" s="114"/>
      <c r="E58" s="114"/>
      <c r="F58" s="116"/>
      <c r="G58" s="114"/>
      <c r="H58" s="114"/>
      <c r="I58" s="114"/>
      <c r="J58" s="116"/>
      <c r="K58" s="74"/>
      <c r="L58" s="87" t="s">
        <v>187</v>
      </c>
      <c r="Q58" s="84">
        <f>168.6+300+100.8+30.5+20+35+415+120.05+10.2+1.9+8.1+5+2+0.75+9.9+1.4+3.8+99.2+13.5+100+87</f>
        <v>1532.7000000000003</v>
      </c>
    </row>
    <row r="59" spans="1:18" ht="136.5" customHeight="1">
      <c r="A59" s="14"/>
      <c r="B59" s="32"/>
      <c r="C59" s="114"/>
      <c r="D59" s="114"/>
      <c r="E59" s="114"/>
      <c r="F59" s="116"/>
      <c r="G59" s="114"/>
      <c r="H59" s="114"/>
      <c r="I59" s="114"/>
      <c r="J59" s="116"/>
      <c r="K59" s="74"/>
      <c r="L59" s="15" t="s">
        <v>188</v>
      </c>
    </row>
    <row r="60" spans="1:18" ht="79.5" customHeight="1">
      <c r="A60" s="14"/>
      <c r="B60" s="32"/>
      <c r="C60" s="114"/>
      <c r="D60" s="114"/>
      <c r="E60" s="114"/>
      <c r="F60" s="116"/>
      <c r="G60" s="114"/>
      <c r="H60" s="114"/>
      <c r="I60" s="114"/>
      <c r="J60" s="116"/>
      <c r="K60" s="74"/>
      <c r="L60" s="87" t="s">
        <v>189</v>
      </c>
      <c r="Q60" s="84">
        <f>6.2+302.3</f>
        <v>308.5</v>
      </c>
    </row>
    <row r="61" spans="1:18" ht="64.5" customHeight="1">
      <c r="A61" s="14"/>
      <c r="B61" s="32"/>
      <c r="C61" s="114"/>
      <c r="D61" s="114"/>
      <c r="E61" s="114"/>
      <c r="F61" s="116"/>
      <c r="G61" s="114"/>
      <c r="H61" s="114"/>
      <c r="I61" s="114"/>
      <c r="J61" s="116"/>
      <c r="K61" s="74"/>
      <c r="L61" s="87" t="s">
        <v>94</v>
      </c>
      <c r="Q61" s="84">
        <f>3.8+18.4+165.8</f>
        <v>188</v>
      </c>
    </row>
    <row r="62" spans="1:18" ht="153.75" customHeight="1">
      <c r="A62" s="14"/>
      <c r="B62" s="32"/>
      <c r="C62" s="114"/>
      <c r="D62" s="114"/>
      <c r="E62" s="114"/>
      <c r="F62" s="116"/>
      <c r="G62" s="114"/>
      <c r="H62" s="114"/>
      <c r="I62" s="114"/>
      <c r="J62" s="116"/>
      <c r="K62" s="74"/>
      <c r="L62" s="87" t="s">
        <v>190</v>
      </c>
      <c r="Q62" s="84">
        <f>1446+406.7+22.8+141.1+153.7+129.7+26+80.2+99.2+111.2+0.8+125+143.2</f>
        <v>2885.599999999999</v>
      </c>
    </row>
    <row r="63" spans="1:18" ht="408.75" customHeight="1">
      <c r="A63" s="14"/>
      <c r="B63" s="32"/>
      <c r="C63" s="114"/>
      <c r="D63" s="114"/>
      <c r="E63" s="114"/>
      <c r="F63" s="116"/>
      <c r="G63" s="114"/>
      <c r="H63" s="114"/>
      <c r="I63" s="114"/>
      <c r="J63" s="116"/>
      <c r="K63" s="74"/>
      <c r="L63" s="87" t="s">
        <v>191</v>
      </c>
      <c r="Q63" s="84">
        <f>2.7+3.3+5+4.8+1.65+1.65+296.2+7+7.5+3.25+2.95+314+4.9+120+34+100+14.3+5</f>
        <v>928.19999999999993</v>
      </c>
      <c r="R63" s="85">
        <f>Q63+Q64+Q65</f>
        <v>3733.8999999999996</v>
      </c>
    </row>
    <row r="64" spans="1:18" ht="396.75" customHeight="1">
      <c r="A64" s="14"/>
      <c r="B64" s="32"/>
      <c r="C64" s="114"/>
      <c r="D64" s="114"/>
      <c r="E64" s="114"/>
      <c r="F64" s="116"/>
      <c r="G64" s="114"/>
      <c r="H64" s="114"/>
      <c r="I64" s="114"/>
      <c r="J64" s="116"/>
      <c r="K64" s="74"/>
      <c r="L64" s="15" t="s">
        <v>112</v>
      </c>
      <c r="Q64" s="84">
        <f>12+1+1.98+400+0.55+4.8+5.85+0.6+5.6+20+7.2+10.4+373+5.1+6.6+7.6+4.4+7.4+46.32</f>
        <v>920.40000000000009</v>
      </c>
      <c r="R64" s="80"/>
    </row>
    <row r="65" spans="1:18" ht="294.75" customHeight="1">
      <c r="A65" s="14"/>
      <c r="B65" s="32"/>
      <c r="C65" s="114"/>
      <c r="D65" s="114"/>
      <c r="E65" s="114"/>
      <c r="F65" s="116"/>
      <c r="G65" s="114"/>
      <c r="H65" s="114"/>
      <c r="I65" s="114"/>
      <c r="J65" s="116"/>
      <c r="K65" s="74"/>
      <c r="L65" s="15" t="s">
        <v>203</v>
      </c>
      <c r="Q65" s="84">
        <f>933.7+7+6+9.6+7.3+5.6+6.3+827+30+22.1+7.1+4+1.6+7+11</f>
        <v>1885.2999999999997</v>
      </c>
      <c r="R65" s="80"/>
    </row>
    <row r="66" spans="1:18" ht="144.75" customHeight="1">
      <c r="A66" s="14"/>
      <c r="B66" s="32"/>
      <c r="C66" s="114"/>
      <c r="D66" s="114"/>
      <c r="E66" s="114"/>
      <c r="F66" s="116"/>
      <c r="G66" s="114"/>
      <c r="H66" s="114"/>
      <c r="I66" s="114"/>
      <c r="J66" s="116"/>
      <c r="K66" s="74"/>
      <c r="L66" s="87" t="s">
        <v>192</v>
      </c>
      <c r="Q66" s="88">
        <f>29.5+25+15+70.3+11.2+27.9</f>
        <v>178.9</v>
      </c>
    </row>
    <row r="67" spans="1:18" ht="66.75" customHeight="1">
      <c r="A67" s="14"/>
      <c r="B67" s="32"/>
      <c r="C67" s="114"/>
      <c r="D67" s="114"/>
      <c r="E67" s="114"/>
      <c r="F67" s="116"/>
      <c r="G67" s="114"/>
      <c r="H67" s="114"/>
      <c r="I67" s="114"/>
      <c r="J67" s="116"/>
      <c r="K67" s="74"/>
      <c r="L67" s="87" t="s">
        <v>113</v>
      </c>
      <c r="Q67" s="84">
        <v>44.8</v>
      </c>
    </row>
    <row r="68" spans="1:18" ht="56.25">
      <c r="A68" s="14"/>
      <c r="B68" s="32"/>
      <c r="C68" s="114"/>
      <c r="D68" s="114"/>
      <c r="E68" s="114"/>
      <c r="F68" s="116"/>
      <c r="G68" s="114"/>
      <c r="H68" s="114"/>
      <c r="I68" s="114"/>
      <c r="J68" s="116"/>
      <c r="K68" s="74"/>
      <c r="L68" s="87" t="s">
        <v>193</v>
      </c>
      <c r="Q68" s="84">
        <f>16.3+12.7</f>
        <v>29</v>
      </c>
    </row>
    <row r="69" spans="1:18" hidden="1">
      <c r="A69" s="14"/>
      <c r="B69" s="32"/>
      <c r="C69" s="114"/>
      <c r="D69" s="114"/>
      <c r="E69" s="114"/>
      <c r="F69" s="116"/>
      <c r="G69" s="114"/>
      <c r="H69" s="114"/>
      <c r="I69" s="114"/>
      <c r="J69" s="116"/>
      <c r="K69" s="74"/>
      <c r="L69" s="87"/>
    </row>
    <row r="70" spans="1:18" hidden="1">
      <c r="A70" s="14"/>
      <c r="B70" s="32"/>
      <c r="C70" s="114"/>
      <c r="D70" s="114"/>
      <c r="E70" s="114"/>
      <c r="F70" s="116"/>
      <c r="G70" s="114"/>
      <c r="H70" s="114"/>
      <c r="I70" s="114"/>
      <c r="J70" s="116"/>
      <c r="K70" s="74"/>
      <c r="L70" s="87"/>
    </row>
    <row r="71" spans="1:18" ht="117.75" customHeight="1">
      <c r="A71" s="7" t="s">
        <v>66</v>
      </c>
      <c r="B71" s="8" t="s">
        <v>4</v>
      </c>
      <c r="C71" s="104">
        <v>1593.2</v>
      </c>
      <c r="D71" s="104"/>
      <c r="E71" s="104"/>
      <c r="F71" s="105">
        <f>E71+D71+C71</f>
        <v>1593.2</v>
      </c>
      <c r="G71" s="104">
        <v>1036.25675</v>
      </c>
      <c r="H71" s="104"/>
      <c r="I71" s="104"/>
      <c r="J71" s="105">
        <f>G71+H71+I71</f>
        <v>1036.25675</v>
      </c>
      <c r="K71" s="73">
        <f>J71/F71*100</f>
        <v>65.042477403966856</v>
      </c>
      <c r="L71" s="9" t="s">
        <v>195</v>
      </c>
      <c r="Q71" s="84">
        <f>18.8+141+67.9+124.5</f>
        <v>352.20000000000005</v>
      </c>
    </row>
    <row r="72" spans="1:18" ht="403.5" customHeight="1">
      <c r="A72" s="14"/>
      <c r="B72" s="62"/>
      <c r="C72" s="114"/>
      <c r="D72" s="114"/>
      <c r="E72" s="114"/>
      <c r="F72" s="116"/>
      <c r="G72" s="114"/>
      <c r="H72" s="114"/>
      <c r="I72" s="114"/>
      <c r="J72" s="116"/>
      <c r="K72" s="74"/>
      <c r="L72" s="15" t="s">
        <v>196</v>
      </c>
      <c r="Q72" s="84">
        <f>14.2+7+5+10+30+4+2.1+5.4+6.6+15+2.7+8.1+11.5+0.9+29.3+20.4+12.5+5+1.6</f>
        <v>191.3</v>
      </c>
    </row>
    <row r="73" spans="1:18" ht="330" customHeight="1">
      <c r="A73" s="14"/>
      <c r="B73" s="62"/>
      <c r="C73" s="114"/>
      <c r="D73" s="114"/>
      <c r="E73" s="114"/>
      <c r="F73" s="116"/>
      <c r="G73" s="114"/>
      <c r="H73" s="114"/>
      <c r="I73" s="114"/>
      <c r="J73" s="116"/>
      <c r="K73" s="74"/>
      <c r="L73" s="15" t="s">
        <v>197</v>
      </c>
      <c r="Q73" s="84">
        <f>25.2+8+3+11.8+29.7+1+19.5+5.5+3.4+15.5+26.9+18+5.2+26.9+5.7+16+16</f>
        <v>237.29999999999998</v>
      </c>
    </row>
    <row r="74" spans="1:18" ht="271.5" customHeight="1">
      <c r="A74" s="14"/>
      <c r="B74" s="34"/>
      <c r="C74" s="129"/>
      <c r="D74" s="129"/>
      <c r="E74" s="129"/>
      <c r="F74" s="131"/>
      <c r="G74" s="129"/>
      <c r="H74" s="129"/>
      <c r="I74" s="129"/>
      <c r="J74" s="131"/>
      <c r="K74" s="75"/>
      <c r="L74" s="33" t="s">
        <v>201</v>
      </c>
      <c r="Q74" s="84">
        <f>48.5+15+22+92.3+62.1+12.1+0.5+0.5+2.5</f>
        <v>255.5</v>
      </c>
    </row>
    <row r="75" spans="1:18" ht="175.5" customHeight="1">
      <c r="A75" s="7" t="s">
        <v>67</v>
      </c>
      <c r="B75" s="35" t="s">
        <v>39</v>
      </c>
      <c r="C75" s="106">
        <v>28351.603350000001</v>
      </c>
      <c r="D75" s="106"/>
      <c r="E75" s="106"/>
      <c r="F75" s="98">
        <f>E75+D75+C75</f>
        <v>28351.603350000001</v>
      </c>
      <c r="G75" s="108">
        <v>20256.49079</v>
      </c>
      <c r="H75" s="108"/>
      <c r="I75" s="108"/>
      <c r="J75" s="109">
        <f>I75+H75+G75</f>
        <v>20256.49079</v>
      </c>
      <c r="K75" s="72">
        <f>J75*100/F75</f>
        <v>71.447425882529487</v>
      </c>
      <c r="L75" s="136" t="s">
        <v>198</v>
      </c>
      <c r="Q75" s="84">
        <f>3036.1+810.7+17+12.6+91.45+0.95+4+58+0.5</f>
        <v>4031.2999999999997</v>
      </c>
      <c r="R75" s="1">
        <f>11209.7+3116.7+42.4+38.5+214.9+4.1+250.1+63.2+1260.8+24.8</f>
        <v>16225.2</v>
      </c>
    </row>
    <row r="76" spans="1:18" ht="80.25" customHeight="1">
      <c r="A76" s="7" t="s">
        <v>68</v>
      </c>
      <c r="B76" s="60" t="s">
        <v>6</v>
      </c>
      <c r="C76" s="104">
        <v>2204.9369999999999</v>
      </c>
      <c r="D76" s="104"/>
      <c r="E76" s="105"/>
      <c r="F76" s="105">
        <f>E76+D76+C76</f>
        <v>2204.9369999999999</v>
      </c>
      <c r="G76" s="104">
        <v>1443.43895</v>
      </c>
      <c r="H76" s="104"/>
      <c r="I76" s="104"/>
      <c r="J76" s="105">
        <f>I76+H76+G76</f>
        <v>1443.43895</v>
      </c>
      <c r="K76" s="73">
        <f>J76*100/F76</f>
        <v>65.46395429892101</v>
      </c>
      <c r="L76" s="9" t="s">
        <v>199</v>
      </c>
      <c r="Q76" s="84">
        <f>862.88+247.1+15.7+2.2+11+16.1+7.52+0.3</f>
        <v>1162.8</v>
      </c>
    </row>
    <row r="77" spans="1:18" ht="336" customHeight="1">
      <c r="A77" s="14"/>
      <c r="B77" s="61"/>
      <c r="C77" s="114"/>
      <c r="D77" s="115"/>
      <c r="E77" s="116"/>
      <c r="F77" s="116"/>
      <c r="G77" s="114"/>
      <c r="H77" s="114"/>
      <c r="I77" s="114"/>
      <c r="J77" s="116"/>
      <c r="K77" s="74"/>
      <c r="L77" s="15" t="s">
        <v>200</v>
      </c>
      <c r="Q77" s="84">
        <f>2.5+4.9+6.4+37+14.9+50+10+1.9+25.4+4.8+4.6+41.3+24.4+14+38.5</f>
        <v>280.60000000000002</v>
      </c>
    </row>
    <row r="78" spans="1:18" hidden="1">
      <c r="A78" s="14"/>
      <c r="B78" s="61"/>
      <c r="C78" s="114"/>
      <c r="D78" s="115"/>
      <c r="E78" s="116"/>
      <c r="F78" s="116"/>
      <c r="G78" s="114"/>
      <c r="H78" s="114"/>
      <c r="I78" s="114"/>
      <c r="J78" s="116"/>
      <c r="K78" s="74"/>
      <c r="L78" s="15"/>
    </row>
    <row r="79" spans="1:18" ht="287.25" customHeight="1">
      <c r="A79" s="24" t="s">
        <v>31</v>
      </c>
      <c r="B79" s="175" t="s">
        <v>75</v>
      </c>
      <c r="C79" s="105">
        <f>15239.7518-0.01</f>
        <v>15239.7418</v>
      </c>
      <c r="D79" s="105">
        <f>1464.677</f>
        <v>1464.6769999999999</v>
      </c>
      <c r="E79" s="105">
        <v>115303</v>
      </c>
      <c r="F79" s="105">
        <f>E79+D79+C79</f>
        <v>132007.41879999998</v>
      </c>
      <c r="G79" s="105">
        <v>8020.15247</v>
      </c>
      <c r="H79" s="105">
        <v>765.27709000000004</v>
      </c>
      <c r="I79" s="105">
        <v>46062.422859999999</v>
      </c>
      <c r="J79" s="105">
        <f>I79+H79+G79</f>
        <v>54847.852420000003</v>
      </c>
      <c r="K79" s="73">
        <f>J79*100/F79</f>
        <v>41.54906816494772</v>
      </c>
      <c r="L79" s="31" t="s">
        <v>139</v>
      </c>
      <c r="Q79" s="84">
        <f>11.6+4.6+15.6+11.5+5.9+8.4+14.6+11.5+3.5+9.5</f>
        <v>96.699999999999989</v>
      </c>
    </row>
    <row r="80" spans="1:18" ht="63.75" customHeight="1">
      <c r="A80" s="37"/>
      <c r="B80" s="176"/>
      <c r="C80" s="116"/>
      <c r="D80" s="116"/>
      <c r="E80" s="114"/>
      <c r="F80" s="116"/>
      <c r="G80" s="116"/>
      <c r="H80" s="116"/>
      <c r="I80" s="116"/>
      <c r="J80" s="116"/>
      <c r="K80" s="74"/>
      <c r="L80" s="87" t="s">
        <v>140</v>
      </c>
      <c r="Q80" s="84">
        <f>2675.6+768.4</f>
        <v>3444</v>
      </c>
    </row>
    <row r="81" spans="1:17" ht="48.75" customHeight="1">
      <c r="A81" s="37"/>
      <c r="B81" s="176"/>
      <c r="C81" s="116"/>
      <c r="D81" s="116"/>
      <c r="E81" s="114"/>
      <c r="F81" s="116"/>
      <c r="G81" s="116"/>
      <c r="H81" s="116"/>
      <c r="I81" s="116"/>
      <c r="J81" s="116"/>
      <c r="K81" s="74"/>
      <c r="L81" s="87" t="s">
        <v>105</v>
      </c>
      <c r="Q81" s="84">
        <v>2036.7</v>
      </c>
    </row>
    <row r="82" spans="1:17" ht="38.25" customHeight="1">
      <c r="A82" s="37"/>
      <c r="B82" s="176"/>
      <c r="C82" s="116"/>
      <c r="D82" s="116"/>
      <c r="E82" s="114"/>
      <c r="F82" s="116"/>
      <c r="G82" s="116"/>
      <c r="H82" s="116"/>
      <c r="I82" s="116"/>
      <c r="J82" s="116"/>
      <c r="K82" s="74"/>
      <c r="L82" s="87" t="s">
        <v>106</v>
      </c>
      <c r="Q82" s="84">
        <v>144</v>
      </c>
    </row>
    <row r="83" spans="1:17" ht="82.5" customHeight="1">
      <c r="A83" s="37"/>
      <c r="B83" s="176"/>
      <c r="C83" s="116"/>
      <c r="D83" s="116"/>
      <c r="E83" s="114"/>
      <c r="F83" s="116"/>
      <c r="G83" s="116"/>
      <c r="H83" s="116"/>
      <c r="I83" s="116"/>
      <c r="J83" s="116"/>
      <c r="K83" s="74"/>
      <c r="L83" s="87" t="s">
        <v>107</v>
      </c>
      <c r="Q83" s="84">
        <v>675.2</v>
      </c>
    </row>
    <row r="84" spans="1:17" ht="81" customHeight="1">
      <c r="A84" s="37"/>
      <c r="B84" s="176"/>
      <c r="C84" s="116"/>
      <c r="D84" s="116"/>
      <c r="E84" s="114"/>
      <c r="F84" s="116"/>
      <c r="G84" s="116"/>
      <c r="H84" s="116"/>
      <c r="I84" s="116"/>
      <c r="J84" s="116"/>
      <c r="K84" s="74"/>
      <c r="L84" s="87" t="s">
        <v>108</v>
      </c>
      <c r="Q84" s="84">
        <v>306.10000000000002</v>
      </c>
    </row>
    <row r="85" spans="1:17" ht="95.25" customHeight="1">
      <c r="A85" s="37"/>
      <c r="B85" s="176"/>
      <c r="C85" s="116"/>
      <c r="D85" s="116"/>
      <c r="E85" s="114"/>
      <c r="F85" s="116"/>
      <c r="G85" s="116"/>
      <c r="H85" s="116"/>
      <c r="I85" s="116"/>
      <c r="J85" s="116"/>
      <c r="K85" s="74"/>
      <c r="L85" s="87" t="s">
        <v>142</v>
      </c>
      <c r="Q85" s="84">
        <f>60.2+148.7+64.6+915.5</f>
        <v>1189</v>
      </c>
    </row>
    <row r="86" spans="1:17" ht="390" customHeight="1">
      <c r="A86" s="17"/>
      <c r="B86" s="176"/>
      <c r="C86" s="116"/>
      <c r="D86" s="116"/>
      <c r="E86" s="114"/>
      <c r="F86" s="116"/>
      <c r="G86" s="116"/>
      <c r="H86" s="116"/>
      <c r="I86" s="116"/>
      <c r="J86" s="116"/>
      <c r="K86" s="74"/>
      <c r="L86" s="15" t="s">
        <v>143</v>
      </c>
      <c r="Q86" s="84">
        <f>3.5+5.5+4.8+36.5+6.7+2.94+4.92+6.3+10+1.8+12.14+4.8+1.8+10+10.8+1.8</f>
        <v>124.29999999999998</v>
      </c>
    </row>
    <row r="87" spans="1:17" ht="390.75" customHeight="1">
      <c r="A87" s="17"/>
      <c r="B87" s="121"/>
      <c r="C87" s="116"/>
      <c r="D87" s="116"/>
      <c r="E87" s="114"/>
      <c r="F87" s="116"/>
      <c r="G87" s="116"/>
      <c r="H87" s="116"/>
      <c r="I87" s="116"/>
      <c r="J87" s="116"/>
      <c r="K87" s="74"/>
      <c r="L87" s="15" t="s">
        <v>115</v>
      </c>
      <c r="Q87" s="84">
        <f>7.5+8.9+8.4+10.1+8.5+4+2.2+2.4+19.9+5+7+7+7+7+7</f>
        <v>111.9</v>
      </c>
    </row>
    <row r="88" spans="1:17" ht="141.75" customHeight="1">
      <c r="A88" s="18"/>
      <c r="B88" s="38"/>
      <c r="C88" s="131"/>
      <c r="D88" s="131"/>
      <c r="E88" s="129"/>
      <c r="F88" s="131"/>
      <c r="G88" s="131"/>
      <c r="H88" s="131"/>
      <c r="I88" s="131"/>
      <c r="J88" s="131"/>
      <c r="K88" s="75"/>
      <c r="L88" s="137" t="s">
        <v>141</v>
      </c>
      <c r="Q88" s="84">
        <f>27.5+5+61+5.4+33+20.3</f>
        <v>152.20000000000002</v>
      </c>
    </row>
    <row r="89" spans="1:17" ht="56.25">
      <c r="A89" s="11" t="s">
        <v>32</v>
      </c>
      <c r="B89" s="12" t="s">
        <v>76</v>
      </c>
      <c r="C89" s="98">
        <f>C91+C92+C90</f>
        <v>15224.315999999999</v>
      </c>
      <c r="D89" s="98">
        <f>D91+D92+D90</f>
        <v>96572</v>
      </c>
      <c r="E89" s="98">
        <f>E91+E92+E90</f>
        <v>11061.5</v>
      </c>
      <c r="F89" s="98">
        <f>F91+F92+F90</f>
        <v>122857.81600000001</v>
      </c>
      <c r="G89" s="98">
        <f>G91+G92+G90</f>
        <v>9792.05278</v>
      </c>
      <c r="H89" s="98">
        <f>H91+H92+H90-0.02</f>
        <v>72509.540329999989</v>
      </c>
      <c r="I89" s="98">
        <f>I91+I92+I90</f>
        <v>11061.47834</v>
      </c>
      <c r="J89" s="98">
        <f>J91+J92+J90</f>
        <v>93363.091450000007</v>
      </c>
      <c r="K89" s="68">
        <f t="shared" ref="K89:K92" si="1">J89*100/F89</f>
        <v>75.992797601090359</v>
      </c>
      <c r="L89" s="138"/>
    </row>
    <row r="90" spans="1:17" ht="311.25" customHeight="1">
      <c r="A90" s="39" t="s">
        <v>33</v>
      </c>
      <c r="B90" s="40" t="s">
        <v>46</v>
      </c>
      <c r="C90" s="106">
        <f>6374.532+127.9+2087.7</f>
        <v>8590.1319999999996</v>
      </c>
      <c r="D90" s="106">
        <v>8386</v>
      </c>
      <c r="E90" s="106"/>
      <c r="F90" s="98">
        <f>E90+D90+C90</f>
        <v>16976.131999999998</v>
      </c>
      <c r="G90" s="108">
        <v>4787.1986100000004</v>
      </c>
      <c r="H90" s="108">
        <v>4118.18397</v>
      </c>
      <c r="I90" s="108"/>
      <c r="J90" s="109">
        <f>I90+H90+G90</f>
        <v>8905.3825800000013</v>
      </c>
      <c r="K90" s="72">
        <f>J90*100/F90</f>
        <v>52.458254801506037</v>
      </c>
      <c r="L90" s="136" t="s">
        <v>135</v>
      </c>
      <c r="Q90" s="84">
        <f>4561.9+50+25.3+150+380.7+3737.5</f>
        <v>8905.4</v>
      </c>
    </row>
    <row r="91" spans="1:17" ht="233.25" customHeight="1">
      <c r="A91" s="22" t="s">
        <v>35</v>
      </c>
      <c r="B91" s="10" t="s">
        <v>7</v>
      </c>
      <c r="C91" s="106"/>
      <c r="D91" s="106">
        <v>84886</v>
      </c>
      <c r="E91" s="106">
        <v>11061.5</v>
      </c>
      <c r="F91" s="98">
        <f t="shared" ref="F91:F98" si="2">E91+D91+C91</f>
        <v>95947.5</v>
      </c>
      <c r="H91" s="108">
        <v>65546.831309999994</v>
      </c>
      <c r="I91" s="108">
        <v>11061.47834</v>
      </c>
      <c r="J91" s="109">
        <f>G91+H91+I91</f>
        <v>76608.309649999996</v>
      </c>
      <c r="K91" s="72">
        <f t="shared" si="1"/>
        <v>79.843987232601165</v>
      </c>
      <c r="L91" s="139" t="s">
        <v>136</v>
      </c>
      <c r="Q91" s="84">
        <f>4691.3+113.4+29.6+81.1+90.9+100.2+18191.8+12464.5+29784+11061.5</f>
        <v>76608.3</v>
      </c>
    </row>
    <row r="92" spans="1:17" ht="255" customHeight="1">
      <c r="A92" s="7" t="s">
        <v>36</v>
      </c>
      <c r="B92" s="8" t="s">
        <v>8</v>
      </c>
      <c r="C92" s="104">
        <f>6634.184</f>
        <v>6634.1840000000002</v>
      </c>
      <c r="D92" s="104">
        <v>3300</v>
      </c>
      <c r="E92" s="104"/>
      <c r="F92" s="105">
        <f t="shared" si="2"/>
        <v>9934.1840000000011</v>
      </c>
      <c r="G92" s="111">
        <v>5004.8541699999996</v>
      </c>
      <c r="H92" s="111">
        <v>2844.5450500000002</v>
      </c>
      <c r="I92" s="111"/>
      <c r="J92" s="97">
        <f>I92+H92+G92</f>
        <v>7849.3992199999993</v>
      </c>
      <c r="K92" s="67">
        <f t="shared" si="1"/>
        <v>79.014030946074669</v>
      </c>
      <c r="L92" s="31" t="s">
        <v>137</v>
      </c>
      <c r="Q92" s="84">
        <f>1606.6+131.2+7.9+68.2+217.5+33.7+2638+141.6+86.2+16+2844.5+58</f>
        <v>7849.4000000000005</v>
      </c>
    </row>
    <row r="93" spans="1:17" ht="121.5" customHeight="1">
      <c r="A93" s="14"/>
      <c r="B93" s="62"/>
      <c r="C93" s="114"/>
      <c r="D93" s="114"/>
      <c r="E93" s="114"/>
      <c r="F93" s="116"/>
      <c r="G93" s="112"/>
      <c r="H93" s="112"/>
      <c r="I93" s="112"/>
      <c r="J93" s="113"/>
      <c r="K93" s="69"/>
      <c r="L93" s="87" t="s">
        <v>138</v>
      </c>
    </row>
    <row r="94" spans="1:17" ht="99" customHeight="1">
      <c r="A94" s="53" t="s">
        <v>38</v>
      </c>
      <c r="B94" s="54" t="s">
        <v>84</v>
      </c>
      <c r="C94" s="105">
        <v>103795.067</v>
      </c>
      <c r="D94" s="105">
        <v>3513</v>
      </c>
      <c r="E94" s="105"/>
      <c r="F94" s="105">
        <f>E94+D94+C94</f>
        <v>107308.067</v>
      </c>
      <c r="G94" s="105">
        <v>18615.928169999999</v>
      </c>
      <c r="H94" s="105"/>
      <c r="I94" s="105"/>
      <c r="J94" s="105">
        <f>I94+H94+G94</f>
        <v>18615.928169999999</v>
      </c>
      <c r="K94" s="73">
        <f>J94*100/F94</f>
        <v>17.348116213853707</v>
      </c>
      <c r="L94" s="122" t="s">
        <v>119</v>
      </c>
      <c r="Q94" s="84">
        <f>7463.6+2042+132.1+245.5+160.7+514.1+426+437.6+248.4+132.6+1.8</f>
        <v>11804.400000000001</v>
      </c>
    </row>
    <row r="95" spans="1:17" ht="61.5" customHeight="1">
      <c r="A95" s="86"/>
      <c r="B95" s="56"/>
      <c r="C95" s="116"/>
      <c r="D95" s="116"/>
      <c r="E95" s="116"/>
      <c r="F95" s="116"/>
      <c r="G95" s="116"/>
      <c r="H95" s="116"/>
      <c r="I95" s="116"/>
      <c r="J95" s="116"/>
      <c r="K95" s="74"/>
      <c r="L95" s="123" t="s">
        <v>120</v>
      </c>
      <c r="Q95" s="84">
        <v>299.39999999999998</v>
      </c>
    </row>
    <row r="96" spans="1:17" ht="63.75" customHeight="1">
      <c r="A96" s="55"/>
      <c r="B96" s="56"/>
      <c r="C96" s="116"/>
      <c r="D96" s="116"/>
      <c r="E96" s="116"/>
      <c r="F96" s="116"/>
      <c r="G96" s="116"/>
      <c r="H96" s="116"/>
      <c r="I96" s="116"/>
      <c r="J96" s="116"/>
      <c r="K96" s="74"/>
      <c r="L96" s="123" t="s">
        <v>121</v>
      </c>
      <c r="Q96" s="84">
        <v>226</v>
      </c>
    </row>
    <row r="97" spans="1:17" ht="214.5" customHeight="1">
      <c r="A97" s="55"/>
      <c r="B97" s="56"/>
      <c r="C97" s="116"/>
      <c r="D97" s="116"/>
      <c r="E97" s="116"/>
      <c r="F97" s="116"/>
      <c r="G97" s="116"/>
      <c r="H97" s="116"/>
      <c r="I97" s="116"/>
      <c r="J97" s="116"/>
      <c r="K97" s="74"/>
      <c r="L97" s="56" t="s">
        <v>122</v>
      </c>
      <c r="Q97" s="84">
        <f>90.8+450+38+99.9+5350+234.7+22.7</f>
        <v>6286.0999999999995</v>
      </c>
    </row>
    <row r="98" spans="1:17" ht="162.75" customHeight="1">
      <c r="A98" s="11" t="s">
        <v>40</v>
      </c>
      <c r="B98" s="41" t="s">
        <v>77</v>
      </c>
      <c r="C98" s="98">
        <v>21</v>
      </c>
      <c r="D98" s="98"/>
      <c r="E98" s="98"/>
      <c r="F98" s="98">
        <f t="shared" si="2"/>
        <v>21</v>
      </c>
      <c r="G98" s="98">
        <v>6.0997000000000003</v>
      </c>
      <c r="H98" s="98"/>
      <c r="I98" s="98"/>
      <c r="J98" s="98">
        <f>G98+H98+I98</f>
        <v>6.0997000000000003</v>
      </c>
      <c r="K98" s="68">
        <f>J98/F98*100</f>
        <v>29.046190476190475</v>
      </c>
      <c r="L98" s="138" t="s">
        <v>180</v>
      </c>
    </row>
    <row r="99" spans="1:17" ht="94.5" customHeight="1">
      <c r="A99" s="42" t="s">
        <v>41</v>
      </c>
      <c r="B99" s="13" t="s">
        <v>78</v>
      </c>
      <c r="C99" s="98">
        <f>C100+C101+C103+C102</f>
        <v>198</v>
      </c>
      <c r="D99" s="98">
        <f t="shared" ref="D99:J99" si="3">D100+D101+D103+D102</f>
        <v>0</v>
      </c>
      <c r="E99" s="98">
        <f t="shared" si="3"/>
        <v>0</v>
      </c>
      <c r="F99" s="98">
        <f t="shared" si="3"/>
        <v>198</v>
      </c>
      <c r="G99" s="98">
        <f>G100+G101+G103+G102</f>
        <v>116.90540999999999</v>
      </c>
      <c r="H99" s="98">
        <f t="shared" si="3"/>
        <v>0</v>
      </c>
      <c r="I99" s="98">
        <f t="shared" si="3"/>
        <v>0</v>
      </c>
      <c r="J99" s="98">
        <f t="shared" si="3"/>
        <v>116.90540999999999</v>
      </c>
      <c r="K99" s="68">
        <f>J99*100/F99</f>
        <v>59.043136363636357</v>
      </c>
      <c r="L99" s="138"/>
    </row>
    <row r="100" spans="1:17" ht="75">
      <c r="A100" s="43" t="s">
        <v>69</v>
      </c>
      <c r="B100" s="10" t="s">
        <v>9</v>
      </c>
      <c r="C100" s="106">
        <v>23</v>
      </c>
      <c r="D100" s="106"/>
      <c r="E100" s="106"/>
      <c r="F100" s="98">
        <f>E100+D100+C100</f>
        <v>23</v>
      </c>
      <c r="G100" s="106">
        <v>9.8829999999999991</v>
      </c>
      <c r="H100" s="98"/>
      <c r="I100" s="98"/>
      <c r="J100" s="98">
        <f>I100+H100+G100</f>
        <v>9.8829999999999991</v>
      </c>
      <c r="K100" s="68">
        <f>J100*100/F100</f>
        <v>42.969565217391299</v>
      </c>
      <c r="L100" s="143" t="s">
        <v>150</v>
      </c>
    </row>
    <row r="101" spans="1:17" ht="60.75" customHeight="1">
      <c r="A101" s="44" t="s">
        <v>70</v>
      </c>
      <c r="B101" s="36" t="s">
        <v>49</v>
      </c>
      <c r="C101" s="106">
        <v>50</v>
      </c>
      <c r="D101" s="106"/>
      <c r="E101" s="106"/>
      <c r="F101" s="98">
        <f>E101+D101+C101</f>
        <v>50</v>
      </c>
      <c r="G101" s="106">
        <v>43.919649999999997</v>
      </c>
      <c r="H101" s="98"/>
      <c r="I101" s="98"/>
      <c r="J101" s="98">
        <f>I101+H101+G101</f>
        <v>43.919649999999997</v>
      </c>
      <c r="K101" s="68">
        <f>J101*100/F101</f>
        <v>87.839300000000009</v>
      </c>
      <c r="L101" s="143" t="s">
        <v>151</v>
      </c>
    </row>
    <row r="102" spans="1:17" ht="172.5" customHeight="1">
      <c r="A102" s="22" t="s">
        <v>71</v>
      </c>
      <c r="B102" s="40" t="s">
        <v>10</v>
      </c>
      <c r="C102" s="106">
        <v>120</v>
      </c>
      <c r="D102" s="106"/>
      <c r="E102" s="106"/>
      <c r="F102" s="98">
        <f>E102+D102+C102</f>
        <v>120</v>
      </c>
      <c r="G102" s="106">
        <v>60.061689999999999</v>
      </c>
      <c r="H102" s="106"/>
      <c r="I102" s="106"/>
      <c r="J102" s="98">
        <f>I102+H102+G102</f>
        <v>60.061689999999999</v>
      </c>
      <c r="K102" s="68">
        <f>J102*100/F102</f>
        <v>50.051408333333335</v>
      </c>
      <c r="L102" s="144" t="s">
        <v>204</v>
      </c>
      <c r="Q102" s="84">
        <f>2+0.7+20+7.4+30</f>
        <v>60.1</v>
      </c>
    </row>
    <row r="103" spans="1:17" ht="59.25" customHeight="1">
      <c r="A103" s="22" t="s">
        <v>72</v>
      </c>
      <c r="B103" s="40" t="s">
        <v>11</v>
      </c>
      <c r="C103" s="106">
        <v>5</v>
      </c>
      <c r="D103" s="106"/>
      <c r="E103" s="106"/>
      <c r="F103" s="98">
        <f>E103+D103+C103</f>
        <v>5</v>
      </c>
      <c r="G103" s="106">
        <v>3.0410699999999999</v>
      </c>
      <c r="H103" s="106"/>
      <c r="I103" s="106"/>
      <c r="J103" s="98">
        <f>I103+H103+G103</f>
        <v>3.0410699999999999</v>
      </c>
      <c r="K103" s="68">
        <f>J103*100/F103</f>
        <v>60.821399999999997</v>
      </c>
      <c r="L103" s="136" t="s">
        <v>114</v>
      </c>
    </row>
    <row r="104" spans="1:17" ht="120" customHeight="1">
      <c r="A104" s="24" t="s">
        <v>42</v>
      </c>
      <c r="B104" s="25" t="s">
        <v>79</v>
      </c>
      <c r="C104" s="105">
        <v>2062.5309999999999</v>
      </c>
      <c r="D104" s="105">
        <v>2000</v>
      </c>
      <c r="E104" s="105"/>
      <c r="F104" s="105">
        <f>E104+D104+C104</f>
        <v>4062.5309999999999</v>
      </c>
      <c r="G104" s="105">
        <v>1494.11887</v>
      </c>
      <c r="H104" s="105">
        <v>1000</v>
      </c>
      <c r="I104" s="105"/>
      <c r="J104" s="105">
        <f>G104+I104+H104</f>
        <v>2494.1188700000002</v>
      </c>
      <c r="K104" s="73">
        <f>J104/F104*100</f>
        <v>61.393226783992546</v>
      </c>
      <c r="L104" s="9" t="s">
        <v>126</v>
      </c>
      <c r="Q104" s="84">
        <f>629.2+165.6+260.7+38.8+6.2+8.9+112.9+6+21.3+6.4+8.5</f>
        <v>1264.5000000000002</v>
      </c>
    </row>
    <row r="105" spans="1:17" ht="160.5" customHeight="1">
      <c r="A105" s="37"/>
      <c r="B105" s="64"/>
      <c r="C105" s="116"/>
      <c r="D105" s="116"/>
      <c r="E105" s="116"/>
      <c r="F105" s="116"/>
      <c r="G105" s="116"/>
      <c r="H105" s="116"/>
      <c r="I105" s="116"/>
      <c r="J105" s="116"/>
      <c r="K105" s="74"/>
      <c r="L105" s="15" t="s">
        <v>127</v>
      </c>
      <c r="Q105" s="84">
        <f>51.7+128+600+420.4</f>
        <v>1200.0999999999999</v>
      </c>
    </row>
    <row r="106" spans="1:17" ht="99.75" customHeight="1">
      <c r="A106" s="63"/>
      <c r="B106" s="65"/>
      <c r="C106" s="131"/>
      <c r="D106" s="131"/>
      <c r="E106" s="116"/>
      <c r="F106" s="131"/>
      <c r="G106" s="131"/>
      <c r="H106" s="131"/>
      <c r="I106" s="131"/>
      <c r="J106" s="131"/>
      <c r="K106" s="75"/>
      <c r="L106" s="137" t="s">
        <v>109</v>
      </c>
      <c r="Q106" s="84">
        <f>13.2+3+2.8+9.8+0.7</f>
        <v>29.5</v>
      </c>
    </row>
    <row r="107" spans="1:17" ht="76.5" customHeight="1">
      <c r="A107" s="42" t="s">
        <v>43</v>
      </c>
      <c r="B107" s="45" t="s">
        <v>80</v>
      </c>
      <c r="C107" s="105">
        <f t="shared" ref="C107:J107" si="4">C108+C119</f>
        <v>28261.094000000001</v>
      </c>
      <c r="D107" s="98">
        <f t="shared" si="4"/>
        <v>20000</v>
      </c>
      <c r="E107" s="105">
        <f t="shared" si="4"/>
        <v>0</v>
      </c>
      <c r="F107" s="98">
        <f t="shared" si="4"/>
        <v>48261.094000000005</v>
      </c>
      <c r="G107" s="98">
        <f t="shared" si="4"/>
        <v>17220.406129999999</v>
      </c>
      <c r="H107" s="98">
        <f t="shared" si="4"/>
        <v>17632.074519999998</v>
      </c>
      <c r="I107" s="98">
        <f t="shared" si="4"/>
        <v>0</v>
      </c>
      <c r="J107" s="98">
        <f t="shared" si="4"/>
        <v>34852.480649999998</v>
      </c>
      <c r="K107" s="68">
        <f>J107*100/F107</f>
        <v>72.216515957968127</v>
      </c>
      <c r="L107" s="138"/>
    </row>
    <row r="108" spans="1:17" ht="326.25" customHeight="1">
      <c r="A108" s="46" t="s">
        <v>44</v>
      </c>
      <c r="B108" s="47" t="s">
        <v>12</v>
      </c>
      <c r="C108" s="104">
        <v>27328.669000000002</v>
      </c>
      <c r="D108" s="104">
        <v>20000</v>
      </c>
      <c r="E108" s="104"/>
      <c r="F108" s="105">
        <f>E108+D108+C108</f>
        <v>47328.669000000002</v>
      </c>
      <c r="G108" s="104">
        <v>16612.64401</v>
      </c>
      <c r="H108" s="104">
        <v>17632.074519999998</v>
      </c>
      <c r="I108" s="104"/>
      <c r="J108" s="105">
        <f>I108+H108+G108</f>
        <v>34244.718529999998</v>
      </c>
      <c r="K108" s="73">
        <f>J108*100/F108</f>
        <v>72.355126931627836</v>
      </c>
      <c r="L108" s="140" t="s">
        <v>148</v>
      </c>
      <c r="Q108" s="84">
        <f>16.6+31.4+11.3+12.7+13.9+39.9</f>
        <v>125.80000000000001</v>
      </c>
    </row>
    <row r="109" spans="1:17">
      <c r="A109" s="49"/>
      <c r="B109" s="62"/>
      <c r="C109" s="114"/>
      <c r="D109" s="114"/>
      <c r="E109" s="114"/>
      <c r="F109" s="116"/>
      <c r="G109" s="114"/>
      <c r="H109" s="114"/>
      <c r="I109" s="114"/>
      <c r="J109" s="116"/>
      <c r="K109" s="74"/>
      <c r="L109" s="141" t="s">
        <v>95</v>
      </c>
      <c r="Q109" s="84">
        <v>204.7</v>
      </c>
    </row>
    <row r="110" spans="1:17" ht="56.25">
      <c r="A110" s="49"/>
      <c r="B110" s="62"/>
      <c r="C110" s="114"/>
      <c r="D110" s="114"/>
      <c r="E110" s="114"/>
      <c r="F110" s="116"/>
      <c r="G110" s="114"/>
      <c r="H110" s="114"/>
      <c r="I110" s="114"/>
      <c r="J110" s="116"/>
      <c r="K110" s="74"/>
      <c r="L110" s="142" t="s">
        <v>101</v>
      </c>
      <c r="Q110" s="84">
        <v>600</v>
      </c>
    </row>
    <row r="111" spans="1:17">
      <c r="A111" s="49"/>
      <c r="B111" s="62"/>
      <c r="C111" s="114"/>
      <c r="D111" s="114"/>
      <c r="E111" s="114"/>
      <c r="F111" s="116"/>
      <c r="G111" s="114"/>
      <c r="H111" s="114"/>
      <c r="I111" s="114"/>
      <c r="J111" s="116"/>
      <c r="K111" s="74"/>
      <c r="L111" s="141" t="s">
        <v>102</v>
      </c>
      <c r="Q111" s="84">
        <v>46.9</v>
      </c>
    </row>
    <row r="112" spans="1:17">
      <c r="A112" s="49"/>
      <c r="B112" s="62"/>
      <c r="C112" s="114"/>
      <c r="D112" s="114"/>
      <c r="E112" s="114"/>
      <c r="F112" s="114"/>
      <c r="G112" s="114"/>
      <c r="H112" s="114"/>
      <c r="I112" s="114"/>
      <c r="J112" s="114"/>
      <c r="K112" s="79"/>
      <c r="L112" s="141" t="s">
        <v>103</v>
      </c>
      <c r="Q112" s="84">
        <v>148.4</v>
      </c>
    </row>
    <row r="113" spans="1:21" ht="250.5" customHeight="1">
      <c r="A113" s="49"/>
      <c r="B113" s="62"/>
      <c r="C113" s="114"/>
      <c r="D113" s="114"/>
      <c r="E113" s="114"/>
      <c r="F113" s="116"/>
      <c r="G113" s="114"/>
      <c r="H113" s="114"/>
      <c r="I113" s="114"/>
      <c r="J113" s="116"/>
      <c r="K113" s="74"/>
      <c r="L113" s="142" t="s">
        <v>145</v>
      </c>
      <c r="Q113" s="84">
        <f>348.8+353.6+3050+1950+7077.3+403.1</f>
        <v>13182.800000000001</v>
      </c>
    </row>
    <row r="114" spans="1:21" ht="42" customHeight="1">
      <c r="A114" s="49"/>
      <c r="B114" s="62"/>
      <c r="C114" s="114"/>
      <c r="D114" s="114"/>
      <c r="E114" s="114"/>
      <c r="F114" s="116"/>
      <c r="G114" s="114"/>
      <c r="H114" s="114"/>
      <c r="I114" s="114"/>
      <c r="J114" s="116"/>
      <c r="K114" s="74"/>
      <c r="L114" s="142" t="s">
        <v>144</v>
      </c>
      <c r="Q114" s="84">
        <v>595.79999999999995</v>
      </c>
    </row>
    <row r="115" spans="1:21" ht="255.75" customHeight="1">
      <c r="A115" s="49"/>
      <c r="B115" s="62"/>
      <c r="C115" s="114"/>
      <c r="D115" s="114"/>
      <c r="E115" s="114"/>
      <c r="F115" s="116"/>
      <c r="G115" s="114"/>
      <c r="H115" s="114"/>
      <c r="I115" s="114"/>
      <c r="J115" s="116"/>
      <c r="K115" s="74"/>
      <c r="L115" s="141" t="s">
        <v>205</v>
      </c>
      <c r="Q115" s="84">
        <f>4843.8+835.2+1162.3+825.2+1055.4+4311.3+1721.8+2877.1</f>
        <v>17632.099999999999</v>
      </c>
    </row>
    <row r="116" spans="1:21" ht="278.25" customHeight="1">
      <c r="A116" s="49"/>
      <c r="B116" s="62"/>
      <c r="C116" s="114"/>
      <c r="D116" s="114"/>
      <c r="E116" s="114"/>
      <c r="F116" s="116"/>
      <c r="G116" s="114"/>
      <c r="H116" s="114"/>
      <c r="I116" s="114"/>
      <c r="J116" s="116"/>
      <c r="K116" s="74"/>
      <c r="L116" s="141" t="s">
        <v>146</v>
      </c>
      <c r="Q116" s="84">
        <f>98.9+17.1+23.8+16.9+21.6+88+35.2+58.8</f>
        <v>360.3</v>
      </c>
    </row>
    <row r="117" spans="1:21" ht="81.75" customHeight="1">
      <c r="A117" s="49"/>
      <c r="B117" s="62"/>
      <c r="C117" s="114"/>
      <c r="D117" s="114"/>
      <c r="E117" s="114"/>
      <c r="F117" s="116"/>
      <c r="G117" s="114"/>
      <c r="H117" s="114"/>
      <c r="I117" s="114"/>
      <c r="J117" s="116"/>
      <c r="K117" s="74"/>
      <c r="L117" s="141" t="s">
        <v>147</v>
      </c>
      <c r="Q117" s="84">
        <v>1347.9</v>
      </c>
    </row>
    <row r="118" spans="1:21" hidden="1">
      <c r="A118" s="49"/>
      <c r="B118" s="62"/>
      <c r="C118" s="114"/>
      <c r="D118" s="114"/>
      <c r="E118" s="114"/>
      <c r="F118" s="116"/>
      <c r="G118" s="114"/>
      <c r="H118" s="114"/>
      <c r="I118" s="114"/>
      <c r="J118" s="116"/>
      <c r="K118" s="74"/>
      <c r="L118" s="141"/>
    </row>
    <row r="119" spans="1:21" ht="50.25" customHeight="1">
      <c r="A119" s="43" t="s">
        <v>45</v>
      </c>
      <c r="B119" s="10" t="s">
        <v>13</v>
      </c>
      <c r="C119" s="106">
        <f>932.425</f>
        <v>932.42499999999995</v>
      </c>
      <c r="D119" s="106"/>
      <c r="E119" s="106"/>
      <c r="F119" s="98">
        <f>E119+D119+C119</f>
        <v>932.42499999999995</v>
      </c>
      <c r="G119" s="106">
        <v>607.76211999999998</v>
      </c>
      <c r="H119" s="106"/>
      <c r="I119" s="106"/>
      <c r="J119" s="98">
        <f>I119+H119+G119</f>
        <v>607.76211999999998</v>
      </c>
      <c r="K119" s="68">
        <f>J119*100/F119</f>
        <v>65.180804890473766</v>
      </c>
      <c r="L119" s="138" t="s">
        <v>149</v>
      </c>
    </row>
    <row r="120" spans="1:21" ht="99.75" customHeight="1">
      <c r="A120" s="24" t="s">
        <v>47</v>
      </c>
      <c r="B120" s="31" t="s">
        <v>30</v>
      </c>
      <c r="C120" s="105">
        <v>41030.330999999998</v>
      </c>
      <c r="D120" s="105">
        <v>111027.6</v>
      </c>
      <c r="E120" s="105"/>
      <c r="F120" s="105">
        <f>E120+D120+C120</f>
        <v>152057.93100000001</v>
      </c>
      <c r="G120" s="105">
        <v>111818.59523000001</v>
      </c>
      <c r="H120" s="105">
        <v>1038.41228</v>
      </c>
      <c r="I120" s="105"/>
      <c r="J120" s="105">
        <f>SUM(G120:I120)</f>
        <v>112857.00751000001</v>
      </c>
      <c r="K120" s="73">
        <f>J120*100/F120</f>
        <v>74.219744256549163</v>
      </c>
      <c r="L120" s="9" t="s">
        <v>128</v>
      </c>
      <c r="Q120" s="84">
        <f>7909.6+2372.4+93.1+58+522+5.5+284.6+122.8+1.2</f>
        <v>11369.2</v>
      </c>
    </row>
    <row r="121" spans="1:21" ht="99.75" customHeight="1">
      <c r="A121" s="37"/>
      <c r="B121" s="87"/>
      <c r="C121" s="116"/>
      <c r="D121" s="116"/>
      <c r="E121" s="116"/>
      <c r="F121" s="116"/>
      <c r="G121" s="116"/>
      <c r="H121" s="116"/>
      <c r="I121" s="116"/>
      <c r="J121" s="116"/>
      <c r="K121" s="74"/>
      <c r="L121" s="15" t="s">
        <v>129</v>
      </c>
      <c r="Q121" s="84">
        <f>85364+7653.2</f>
        <v>93017.2</v>
      </c>
    </row>
    <row r="122" spans="1:21" ht="123" customHeight="1">
      <c r="A122" s="37"/>
      <c r="B122" s="87"/>
      <c r="C122" s="116"/>
      <c r="D122" s="116"/>
      <c r="E122" s="116"/>
      <c r="F122" s="116"/>
      <c r="G122" s="116"/>
      <c r="H122" s="116"/>
      <c r="I122" s="116"/>
      <c r="J122" s="116"/>
      <c r="K122" s="74"/>
      <c r="L122" s="15" t="s">
        <v>130</v>
      </c>
      <c r="Q122" s="84">
        <f>5431.1+1466.2+51.8+57.8+31.9+227.3+2+93.7+67.8+1.4</f>
        <v>7431</v>
      </c>
    </row>
    <row r="123" spans="1:21" ht="80.25" customHeight="1">
      <c r="A123" s="37"/>
      <c r="B123" s="87"/>
      <c r="C123" s="116"/>
      <c r="D123" s="116"/>
      <c r="E123" s="116"/>
      <c r="F123" s="116"/>
      <c r="G123" s="116"/>
      <c r="H123" s="116"/>
      <c r="I123" s="116"/>
      <c r="J123" s="116"/>
      <c r="K123" s="74"/>
      <c r="L123" s="15" t="s">
        <v>131</v>
      </c>
      <c r="Q123" s="84">
        <f>433.9+533.8+15</f>
        <v>982.69999999999993</v>
      </c>
    </row>
    <row r="124" spans="1:21" ht="39.75" customHeight="1">
      <c r="A124" s="37"/>
      <c r="B124" s="87"/>
      <c r="C124" s="116"/>
      <c r="D124" s="116"/>
      <c r="E124" s="116"/>
      <c r="F124" s="116"/>
      <c r="G124" s="116"/>
      <c r="H124" s="116"/>
      <c r="I124" s="116"/>
      <c r="J124" s="116"/>
      <c r="K124" s="74"/>
      <c r="L124" s="15" t="s">
        <v>132</v>
      </c>
    </row>
    <row r="125" spans="1:21" ht="41.25" customHeight="1">
      <c r="A125" s="37"/>
      <c r="B125" s="87"/>
      <c r="C125" s="116"/>
      <c r="D125" s="116"/>
      <c r="E125" s="116"/>
      <c r="F125" s="116"/>
      <c r="G125" s="116"/>
      <c r="H125" s="116"/>
      <c r="I125" s="116"/>
      <c r="J125" s="116"/>
      <c r="K125" s="74"/>
      <c r="L125" s="15" t="s">
        <v>110</v>
      </c>
    </row>
    <row r="126" spans="1:21" ht="80.25" customHeight="1">
      <c r="A126" s="18"/>
      <c r="B126" s="33"/>
      <c r="C126" s="131"/>
      <c r="D126" s="131"/>
      <c r="E126" s="131"/>
      <c r="F126" s="131"/>
      <c r="G126" s="131"/>
      <c r="H126" s="131"/>
      <c r="I126" s="131"/>
      <c r="J126" s="131"/>
      <c r="K126" s="75"/>
      <c r="L126" s="33" t="s">
        <v>111</v>
      </c>
    </row>
    <row r="127" spans="1:21" ht="57.75" customHeight="1">
      <c r="A127" s="48" t="s">
        <v>48</v>
      </c>
      <c r="B127" s="13" t="s">
        <v>81</v>
      </c>
      <c r="C127" s="98">
        <v>390</v>
      </c>
      <c r="D127" s="98">
        <f>192.75399-0.01</f>
        <v>192.74399</v>
      </c>
      <c r="E127" s="98">
        <v>737.76697999999999</v>
      </c>
      <c r="F127" s="98">
        <f>C127+D127+E127</f>
        <v>1320.5109699999998</v>
      </c>
      <c r="G127" s="98">
        <f>296.04845+0.01</f>
        <v>296.05844999999999</v>
      </c>
      <c r="H127" s="98">
        <v>146.31929</v>
      </c>
      <c r="I127" s="98">
        <v>560.03786000000002</v>
      </c>
      <c r="J127" s="98">
        <f>I127+H127+G127</f>
        <v>1002.4156</v>
      </c>
      <c r="K127" s="68">
        <f t="shared" ref="K127" si="5">J127*100/F127</f>
        <v>75.911190650691836</v>
      </c>
      <c r="L127" s="138" t="s">
        <v>134</v>
      </c>
    </row>
    <row r="128" spans="1:21" ht="259.5" customHeight="1">
      <c r="A128" s="177" t="s">
        <v>50</v>
      </c>
      <c r="B128" s="179" t="s">
        <v>90</v>
      </c>
      <c r="C128" s="105">
        <v>4079.4859999999999</v>
      </c>
      <c r="D128" s="105">
        <v>523</v>
      </c>
      <c r="E128" s="105"/>
      <c r="F128" s="105">
        <f>E128+D128+C128</f>
        <v>4602.4859999999999</v>
      </c>
      <c r="G128" s="105">
        <v>1956.71136</v>
      </c>
      <c r="H128" s="105">
        <v>417.94411000000002</v>
      </c>
      <c r="I128" s="105"/>
      <c r="J128" s="105">
        <f>I128+H128+G128-0.01</f>
        <v>2374.6454699999999</v>
      </c>
      <c r="K128" s="73">
        <f>J128*100/F128</f>
        <v>51.594843960416178</v>
      </c>
      <c r="L128" s="140" t="s">
        <v>202</v>
      </c>
      <c r="P128" s="81">
        <f>107.7+95.9+121+14.2+5.4+1.1+4.7+20+0.5</f>
        <v>370.5</v>
      </c>
      <c r="Q128" s="84">
        <f>1022.5+186.4+193+89+355.4+1.1+12.3+20+13+53+11</f>
        <v>1956.7</v>
      </c>
      <c r="U128" s="1" t="s">
        <v>99</v>
      </c>
    </row>
    <row r="129" spans="1:17" ht="44.25" customHeight="1">
      <c r="A129" s="178"/>
      <c r="B129" s="180"/>
      <c r="C129" s="131"/>
      <c r="D129" s="131"/>
      <c r="E129" s="131"/>
      <c r="F129" s="131"/>
      <c r="G129" s="131"/>
      <c r="H129" s="131"/>
      <c r="I129" s="116"/>
      <c r="J129" s="116"/>
      <c r="K129" s="75"/>
      <c r="L129" s="152" t="s">
        <v>207</v>
      </c>
      <c r="P129" s="81">
        <v>106.1</v>
      </c>
    </row>
    <row r="130" spans="1:17" ht="120" customHeight="1">
      <c r="A130" s="42" t="s">
        <v>51</v>
      </c>
      <c r="B130" s="13" t="s">
        <v>82</v>
      </c>
      <c r="C130" s="109">
        <f>C131+C135+C136</f>
        <v>26761.793310000001</v>
      </c>
      <c r="D130" s="109">
        <f t="shared" ref="D130:J130" si="6">D131+D135+D136</f>
        <v>28437.4</v>
      </c>
      <c r="E130" s="109">
        <f t="shared" si="6"/>
        <v>61443.6</v>
      </c>
      <c r="F130" s="109">
        <f>F131+F135+F136</f>
        <v>116642.79330999998</v>
      </c>
      <c r="G130" s="109">
        <f t="shared" si="6"/>
        <v>12103.55949</v>
      </c>
      <c r="H130" s="109">
        <f t="shared" si="6"/>
        <v>7328.7259700000004</v>
      </c>
      <c r="I130" s="109">
        <f t="shared" si="6"/>
        <v>46877.537790000002</v>
      </c>
      <c r="J130" s="109">
        <f t="shared" si="6"/>
        <v>66309.823250000001</v>
      </c>
      <c r="K130" s="68">
        <f t="shared" ref="K130:K137" si="7">J130*100/F130</f>
        <v>56.848624221274676</v>
      </c>
      <c r="L130" s="149"/>
    </row>
    <row r="131" spans="1:17" ht="116.25" customHeight="1">
      <c r="A131" s="46" t="s">
        <v>52</v>
      </c>
      <c r="B131" s="30" t="s">
        <v>14</v>
      </c>
      <c r="C131" s="111">
        <v>8149.0915800000002</v>
      </c>
      <c r="D131" s="117">
        <v>20650</v>
      </c>
      <c r="E131" s="111"/>
      <c r="F131" s="97">
        <f>E131+D131+C131</f>
        <v>28799.09158</v>
      </c>
      <c r="G131" s="111">
        <v>922.15449999999998</v>
      </c>
      <c r="H131" s="111">
        <v>1387.4377400000001</v>
      </c>
      <c r="I131" s="111"/>
      <c r="J131" s="97">
        <f>I131+H131+G131</f>
        <v>2309.5922399999999</v>
      </c>
      <c r="K131" s="67">
        <f t="shared" si="7"/>
        <v>8.0196704593416204</v>
      </c>
      <c r="L131" s="9" t="s">
        <v>170</v>
      </c>
      <c r="Q131" s="84">
        <f>599.5+294.3</f>
        <v>893.8</v>
      </c>
    </row>
    <row r="132" spans="1:17" ht="135" hidden="1" customHeight="1">
      <c r="A132" s="49"/>
      <c r="B132" s="50"/>
      <c r="C132" s="112"/>
      <c r="D132" s="132"/>
      <c r="E132" s="112"/>
      <c r="F132" s="113"/>
      <c r="G132" s="112"/>
      <c r="H132" s="112"/>
      <c r="I132" s="112"/>
      <c r="J132" s="113"/>
      <c r="K132" s="69"/>
      <c r="L132" s="87"/>
    </row>
    <row r="133" spans="1:17" ht="100.5" customHeight="1">
      <c r="A133" s="49"/>
      <c r="B133" s="50"/>
      <c r="C133" s="112"/>
      <c r="D133" s="132"/>
      <c r="E133" s="112"/>
      <c r="F133" s="113"/>
      <c r="G133" s="112"/>
      <c r="H133" s="112"/>
      <c r="I133" s="112"/>
      <c r="J133" s="113"/>
      <c r="K133" s="69"/>
      <c r="L133" s="87" t="s">
        <v>171</v>
      </c>
      <c r="Q133" s="84">
        <v>1415.8</v>
      </c>
    </row>
    <row r="134" spans="1:17" ht="118.5" hidden="1" customHeight="1">
      <c r="A134" s="51"/>
      <c r="B134" s="52"/>
      <c r="C134" s="127"/>
      <c r="D134" s="133"/>
      <c r="E134" s="127"/>
      <c r="F134" s="128"/>
      <c r="G134" s="127"/>
      <c r="H134" s="127"/>
      <c r="I134" s="127"/>
      <c r="J134" s="128"/>
      <c r="K134" s="71"/>
      <c r="L134" s="33" t="s">
        <v>116</v>
      </c>
    </row>
    <row r="135" spans="1:17" ht="120" customHeight="1">
      <c r="A135" s="43" t="s">
        <v>53</v>
      </c>
      <c r="B135" s="40" t="s">
        <v>15</v>
      </c>
      <c r="C135" s="108">
        <v>1866.4837299999999</v>
      </c>
      <c r="D135" s="108">
        <f>620.7+7166.7</f>
        <v>7787.4</v>
      </c>
      <c r="E135" s="108">
        <v>61443.6</v>
      </c>
      <c r="F135" s="109">
        <f>C135+D135+E135</f>
        <v>71097.483729999993</v>
      </c>
      <c r="G135" s="108">
        <f>966.34856+0.01</f>
        <v>966.35856000000001</v>
      </c>
      <c r="H135" s="108">
        <v>5941.2882300000001</v>
      </c>
      <c r="I135" s="108">
        <v>46877.537790000002</v>
      </c>
      <c r="J135" s="109">
        <f>I135+H135+G135</f>
        <v>53785.184580000001</v>
      </c>
      <c r="K135" s="72">
        <v>0</v>
      </c>
      <c r="L135" s="148" t="s">
        <v>209</v>
      </c>
      <c r="Q135" s="84">
        <v>53785.1</v>
      </c>
    </row>
    <row r="136" spans="1:17" ht="98.25" customHeight="1">
      <c r="A136" s="44" t="s">
        <v>53</v>
      </c>
      <c r="B136" s="40" t="s">
        <v>5</v>
      </c>
      <c r="C136" s="108">
        <v>16746.218000000001</v>
      </c>
      <c r="D136" s="108"/>
      <c r="E136" s="108"/>
      <c r="F136" s="109">
        <f>E136+D136+C136</f>
        <v>16746.218000000001</v>
      </c>
      <c r="G136" s="108">
        <f>10215.05643-0.01</f>
        <v>10215.04643</v>
      </c>
      <c r="H136" s="108"/>
      <c r="I136" s="108"/>
      <c r="J136" s="109">
        <f>I136+H136+G136</f>
        <v>10215.04643</v>
      </c>
      <c r="K136" s="72">
        <f t="shared" si="7"/>
        <v>60.999124877031939</v>
      </c>
      <c r="L136" s="23" t="s">
        <v>208</v>
      </c>
      <c r="P136" s="81">
        <f>1448.4+329.7+25.2+17.2+26+65.8+53.5+88.1+0.5</f>
        <v>2054.4</v>
      </c>
      <c r="Q136" s="84">
        <f>6151.9+49.6+1738.3+73+124.3+920.8+316.5+477.8+357.1+1.5+4.3</f>
        <v>10215.099999999999</v>
      </c>
    </row>
    <row r="137" spans="1:17" ht="135" customHeight="1">
      <c r="A137" s="11" t="s">
        <v>54</v>
      </c>
      <c r="B137" s="12" t="s">
        <v>83</v>
      </c>
      <c r="C137" s="98">
        <v>107</v>
      </c>
      <c r="D137" s="98"/>
      <c r="E137" s="98"/>
      <c r="F137" s="98">
        <f>E137+D137+C137</f>
        <v>107</v>
      </c>
      <c r="G137" s="98"/>
      <c r="H137" s="98"/>
      <c r="I137" s="98"/>
      <c r="J137" s="98">
        <f>SUM(G137:I137)</f>
        <v>0</v>
      </c>
      <c r="K137" s="72">
        <f t="shared" si="7"/>
        <v>0</v>
      </c>
      <c r="L137" s="23" t="s">
        <v>133</v>
      </c>
    </row>
    <row r="138" spans="1:17" s="2" customFormat="1" ht="40.5" customHeight="1">
      <c r="A138" s="181" t="s">
        <v>55</v>
      </c>
      <c r="B138" s="182"/>
      <c r="C138" s="118">
        <f>C107+C130+C128+C94+C127+C98+C99+C46+C89+C104+C79+C47+C11+C120+C137+C10+C7</f>
        <v>760270.15431999997</v>
      </c>
      <c r="D138" s="118">
        <f>D107+D130+D128+D94+D127+D98+D99+D46+D89+D104+D79+D47+D11+D120+D137+D10+D7-0.01</f>
        <v>899052.54161999992</v>
      </c>
      <c r="E138" s="118">
        <f t="shared" ref="E138:J138" si="8">E107+E130+E128+E94+E127+E98+E99+E46+E89+E104+E79+E47+E11+E120+E137+E10+E7</f>
        <v>260171.58397999997</v>
      </c>
      <c r="F138" s="118">
        <f t="shared" si="8"/>
        <v>1919494.2699200001</v>
      </c>
      <c r="G138" s="118">
        <f t="shared" si="8"/>
        <v>529992.38933999999</v>
      </c>
      <c r="H138" s="118">
        <f t="shared" si="8"/>
        <v>558684.03387000004</v>
      </c>
      <c r="I138" s="118">
        <f t="shared" si="8"/>
        <v>154270.81292</v>
      </c>
      <c r="J138" s="118">
        <f t="shared" si="8"/>
        <v>1242947.2461300001</v>
      </c>
      <c r="K138" s="76">
        <f>J138/F138*100</f>
        <v>64.753891981235412</v>
      </c>
      <c r="L138" s="154"/>
      <c r="P138" s="81"/>
      <c r="Q138" s="84"/>
    </row>
    <row r="139" spans="1:17" s="2" customFormat="1" ht="40.5" hidden="1" customHeight="1">
      <c r="A139" s="4"/>
      <c r="B139" s="4"/>
      <c r="C139" s="119">
        <v>748770.2</v>
      </c>
      <c r="D139" s="119">
        <v>880402.6</v>
      </c>
      <c r="E139" s="119">
        <v>260171.6</v>
      </c>
      <c r="F139" s="119">
        <v>1889344.3</v>
      </c>
      <c r="G139" s="119">
        <v>335269.2</v>
      </c>
      <c r="H139" s="119">
        <v>377485.6</v>
      </c>
      <c r="I139" s="119">
        <v>80128.600000000006</v>
      </c>
      <c r="J139" s="119">
        <v>792883.4</v>
      </c>
      <c r="K139" s="77"/>
      <c r="L139" s="155"/>
      <c r="P139" s="81"/>
      <c r="Q139" s="84"/>
    </row>
    <row r="140" spans="1:17" s="2" customFormat="1" ht="108.75" hidden="1" customHeight="1">
      <c r="A140" s="4"/>
      <c r="B140" s="4"/>
      <c r="C140" s="119">
        <f>14175.4+48+393503.9+5051.2+102635.5+14833.7+13008.7+28368.7+21+198+1802.5+28261.1+41163.9+390+4079.5+101122+107</f>
        <v>748770.1</v>
      </c>
      <c r="D140" s="119">
        <f>2011.3+625383.9+455+471.9+1464.7+96572+3513+2000+20000+111027.6+192.7+523+16787.4</f>
        <v>880402.5</v>
      </c>
      <c r="E140" s="119">
        <f>230.6+71229.3+165.8+115303+11061.5+737.8+61443.6</f>
        <v>260171.6</v>
      </c>
      <c r="F140" s="119">
        <f>16417.3+48+1090117.1+5506.2+103273.2+131601.4+120642.2+31881.7+21+198+3802.5+48261.1+152191.5+1320.5+4602.5+179353+107</f>
        <v>1889344.2</v>
      </c>
      <c r="G140" s="119">
        <f>5825.1+35.2+181824.6+2660.1+45161+5746.8+6852.4+8306.2+6.1+6.9+809.7+1488.2+69577.5+1403.3+5566</f>
        <v>335269.10000000003</v>
      </c>
      <c r="H140" s="119">
        <f>757.9+330096.2+157.6+206.7+501+41396.2+1000+772.2+323.6+2274.2</f>
        <v>377485.60000000003</v>
      </c>
      <c r="I140" s="119">
        <f>230.6+32492.7+165.8+19899.9+9396+17943.6</f>
        <v>80128.600000000006</v>
      </c>
      <c r="J140" s="119">
        <f>6813.6+35.2+544413.5+2817.7+45533.5+26147.7+57644.6+8306.2+6.1+6.9+1809.7+1488.2+70349.7+1726.9+25783.8</f>
        <v>792883.29999999981</v>
      </c>
      <c r="K140" s="77"/>
      <c r="L140" s="155"/>
      <c r="P140" s="81"/>
      <c r="Q140" s="84"/>
    </row>
    <row r="141" spans="1:17" hidden="1">
      <c r="A141" s="57"/>
      <c r="B141" s="58"/>
      <c r="C141" s="120">
        <f>C140-C138</f>
        <v>-11500.054319999996</v>
      </c>
      <c r="D141" s="120">
        <f t="shared" ref="D141:J141" si="9">D140-D138</f>
        <v>-18650.041619999916</v>
      </c>
      <c r="E141" s="120">
        <f t="shared" si="9"/>
        <v>1.6020000039134175E-2</v>
      </c>
      <c r="F141" s="120">
        <f t="shared" si="9"/>
        <v>-30150.069920000155</v>
      </c>
      <c r="G141" s="120">
        <f t="shared" si="9"/>
        <v>-194723.28933999996</v>
      </c>
      <c r="H141" s="120">
        <f t="shared" si="9"/>
        <v>-181198.43387000001</v>
      </c>
      <c r="I141" s="120">
        <f t="shared" si="9"/>
        <v>-74142.212919999991</v>
      </c>
      <c r="J141" s="120">
        <f t="shared" si="9"/>
        <v>-450063.94613000029</v>
      </c>
      <c r="K141" s="78"/>
      <c r="L141" s="57"/>
    </row>
    <row r="142" spans="1:17" ht="120" customHeight="1">
      <c r="A142" s="158" t="s">
        <v>56</v>
      </c>
      <c r="B142" s="158"/>
      <c r="C142" s="159"/>
      <c r="D142" s="159"/>
      <c r="E142" s="159"/>
      <c r="F142" s="159"/>
      <c r="G142" s="159"/>
      <c r="H142" s="159"/>
      <c r="I142" s="159"/>
      <c r="J142" s="159"/>
      <c r="K142" s="160"/>
      <c r="L142" s="161"/>
    </row>
    <row r="143" spans="1:17" ht="27.75">
      <c r="A143" s="162" t="s">
        <v>57</v>
      </c>
      <c r="B143" s="162"/>
      <c r="C143" s="163"/>
      <c r="D143" s="159"/>
      <c r="E143" s="159"/>
      <c r="F143" s="159"/>
      <c r="G143" s="159"/>
      <c r="H143" s="159"/>
      <c r="I143" s="159"/>
      <c r="J143" s="159"/>
      <c r="K143" s="160"/>
      <c r="L143" s="161"/>
    </row>
    <row r="144" spans="1:17" ht="27.75">
      <c r="A144" s="164" t="s">
        <v>206</v>
      </c>
      <c r="B144" s="164"/>
      <c r="C144" s="165"/>
      <c r="D144" s="166"/>
      <c r="E144" s="167"/>
      <c r="F144" s="168"/>
      <c r="G144" s="169"/>
      <c r="H144" s="169"/>
      <c r="I144" s="169"/>
      <c r="J144" s="168"/>
      <c r="L144" s="170" t="s">
        <v>58</v>
      </c>
    </row>
    <row r="145" spans="1:19" ht="19.5">
      <c r="B145" s="59"/>
      <c r="D145" s="115"/>
      <c r="E145" s="115"/>
    </row>
    <row r="146" spans="1:19" ht="62.25" customHeight="1">
      <c r="D146" s="115"/>
      <c r="E146" s="115"/>
      <c r="L146" s="6"/>
    </row>
    <row r="147" spans="1:19">
      <c r="A147" s="1" t="s">
        <v>59</v>
      </c>
      <c r="D147" s="115"/>
      <c r="E147" s="115"/>
      <c r="L147" s="156"/>
    </row>
    <row r="148" spans="1:19" hidden="1">
      <c r="A148" s="1" t="s">
        <v>73</v>
      </c>
      <c r="D148" s="115"/>
      <c r="E148" s="115"/>
      <c r="L148" s="156"/>
    </row>
    <row r="149" spans="1:19" hidden="1">
      <c r="A149" s="1" t="s">
        <v>74</v>
      </c>
      <c r="D149" s="115"/>
      <c r="E149" s="115"/>
      <c r="L149" s="156"/>
    </row>
    <row r="150" spans="1:19">
      <c r="A150" s="187" t="s">
        <v>60</v>
      </c>
      <c r="B150" s="187"/>
      <c r="D150" s="115"/>
      <c r="E150" s="115"/>
      <c r="L150" s="157"/>
      <c r="S150" s="83"/>
    </row>
    <row r="151" spans="1:19">
      <c r="D151" s="115"/>
      <c r="E151" s="115"/>
    </row>
    <row r="152" spans="1:19">
      <c r="D152" s="115"/>
      <c r="E152" s="115"/>
    </row>
    <row r="153" spans="1:19">
      <c r="D153" s="115"/>
      <c r="E153" s="115"/>
      <c r="L153" s="156"/>
    </row>
    <row r="154" spans="1:19">
      <c r="D154" s="115"/>
      <c r="E154" s="115"/>
      <c r="L154" s="156"/>
    </row>
    <row r="155" spans="1:19">
      <c r="D155" s="115"/>
      <c r="E155" s="115"/>
    </row>
    <row r="156" spans="1:19">
      <c r="D156" s="115"/>
      <c r="E156" s="115"/>
    </row>
    <row r="157" spans="1:19">
      <c r="D157" s="115"/>
      <c r="E157" s="115"/>
    </row>
    <row r="158" spans="1:19">
      <c r="D158" s="115"/>
      <c r="E158" s="115"/>
    </row>
    <row r="159" spans="1:19">
      <c r="D159" s="115"/>
      <c r="E159" s="115"/>
    </row>
    <row r="160" spans="1:19">
      <c r="D160" s="115"/>
    </row>
    <row r="161" spans="4:4">
      <c r="D161" s="115"/>
    </row>
  </sheetData>
  <sheetProtection password="CC21" sheet="1" objects="1" scenarios="1" formatCells="0" formatColumns="0" formatRows="0" insertColumns="0" insertRows="0" insertHyperlinks="0" deleteColumns="0" deleteRows="0" sort="0" autoFilter="0" pivotTables="0"/>
  <mergeCells count="13">
    <mergeCell ref="B79:B86"/>
    <mergeCell ref="A128:A129"/>
    <mergeCell ref="B128:B129"/>
    <mergeCell ref="A138:B138"/>
    <mergeCell ref="A150:B150"/>
    <mergeCell ref="A1:L1"/>
    <mergeCell ref="A2:L2"/>
    <mergeCell ref="A4:A5"/>
    <mergeCell ref="B4:B5"/>
    <mergeCell ref="C4:F4"/>
    <mergeCell ref="G4:J4"/>
    <mergeCell ref="K4:K5"/>
    <mergeCell ref="L4:L5"/>
  </mergeCells>
  <pageMargins left="0.59055118110236227" right="0.59055118110236227" top="0.78740157480314965" bottom="0.39370078740157483" header="0" footer="0"/>
  <pageSetup paperSize="9" scale="37" fitToHeight="0" orientation="landscape" r:id="rId1"/>
  <rowBreaks count="4" manualBreakCount="4">
    <brk id="99" max="11" man="1"/>
    <brk id="104" max="11" man="1"/>
    <brk id="115" max="11" man="1"/>
    <brk id="129" max="1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Отчет</vt:lpstr>
      <vt:lpstr>Отчет!Заголовки_для_печати</vt:lpstr>
      <vt:lpstr>Отчет!Область_печати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2022-10-17T02:27:00Z</dcterms:modified>
</cp:coreProperties>
</file>