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 квартал 2026" sheetId="38" r:id="rId5"/>
  </sheets>
  <definedNames>
    <definedName name="_xlnm._FilterDatabase" localSheetId="4" hidden="1">'Отчет за 1 квартал 2026'!$C$1:$C$153</definedName>
    <definedName name="_xlnm.Print_Titles" localSheetId="0">Отчет!$4:$6</definedName>
    <definedName name="_xlnm.Print_Titles" localSheetId="4">'Отчет за 1 квартал 2026'!$4:$6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 квартал 2026'!$A$1:$L$142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J133" i="38"/>
  <c r="F133"/>
  <c r="K130"/>
  <c r="J130"/>
  <c r="F130"/>
  <c r="O129"/>
  <c r="P128" s="1"/>
  <c r="Q128" s="1"/>
  <c r="M129"/>
  <c r="N127" s="1"/>
  <c r="K129"/>
  <c r="J129"/>
  <c r="F129"/>
  <c r="M128"/>
  <c r="K128"/>
  <c r="J128"/>
  <c r="F128"/>
  <c r="K127"/>
  <c r="J127"/>
  <c r="I127"/>
  <c r="I131" s="1"/>
  <c r="H127"/>
  <c r="G127"/>
  <c r="F127"/>
  <c r="E127"/>
  <c r="D127"/>
  <c r="C127"/>
  <c r="O125"/>
  <c r="P125" s="1"/>
  <c r="Q125" s="1"/>
  <c r="N125"/>
  <c r="M125"/>
  <c r="K125"/>
  <c r="J125"/>
  <c r="F125"/>
  <c r="K124"/>
  <c r="J124"/>
  <c r="F124"/>
  <c r="O118"/>
  <c r="M118"/>
  <c r="O116"/>
  <c r="P116" s="1"/>
  <c r="Q116" s="1"/>
  <c r="N116"/>
  <c r="M116"/>
  <c r="J116"/>
  <c r="F116"/>
  <c r="K116" s="1"/>
  <c r="J115"/>
  <c r="F115"/>
  <c r="K115" s="1"/>
  <c r="O112"/>
  <c r="P112" s="1"/>
  <c r="N112"/>
  <c r="M112"/>
  <c r="K112"/>
  <c r="J112"/>
  <c r="J111" s="1"/>
  <c r="F112"/>
  <c r="I111"/>
  <c r="H111"/>
  <c r="H131" s="1"/>
  <c r="G111"/>
  <c r="G131" s="1"/>
  <c r="E111"/>
  <c r="E131" s="1"/>
  <c r="D111"/>
  <c r="D131" s="1"/>
  <c r="C111"/>
  <c r="O110"/>
  <c r="O109"/>
  <c r="P109" s="1"/>
  <c r="N109"/>
  <c r="M109"/>
  <c r="K109"/>
  <c r="J109"/>
  <c r="F109"/>
  <c r="J108"/>
  <c r="K108" s="1"/>
  <c r="F108"/>
  <c r="K107"/>
  <c r="J107"/>
  <c r="F107"/>
  <c r="K106"/>
  <c r="J106"/>
  <c r="F106"/>
  <c r="P105"/>
  <c r="N105"/>
  <c r="J105"/>
  <c r="J104" s="1"/>
  <c r="F105"/>
  <c r="F104" s="1"/>
  <c r="I104"/>
  <c r="H104"/>
  <c r="G104"/>
  <c r="E104"/>
  <c r="D104"/>
  <c r="C104"/>
  <c r="M103"/>
  <c r="K103"/>
  <c r="J103"/>
  <c r="F103"/>
  <c r="O102"/>
  <c r="M102"/>
  <c r="M99"/>
  <c r="N97" s="1"/>
  <c r="O97"/>
  <c r="P97" s="1"/>
  <c r="M97"/>
  <c r="J97"/>
  <c r="Q97" s="1"/>
  <c r="F97"/>
  <c r="Q92"/>
  <c r="P92"/>
  <c r="M92"/>
  <c r="N92" s="1"/>
  <c r="J92"/>
  <c r="F92"/>
  <c r="K92" s="1"/>
  <c r="M91"/>
  <c r="N88" s="1"/>
  <c r="O90"/>
  <c r="O89"/>
  <c r="P88" s="1"/>
  <c r="Q88" s="1"/>
  <c r="M88"/>
  <c r="J88"/>
  <c r="K88" s="1"/>
  <c r="F88"/>
  <c r="P86"/>
  <c r="O86"/>
  <c r="M86"/>
  <c r="N86" s="1"/>
  <c r="K86"/>
  <c r="J86"/>
  <c r="Q86" s="1"/>
  <c r="F86"/>
  <c r="I85"/>
  <c r="H85"/>
  <c r="G85"/>
  <c r="E85"/>
  <c r="D85"/>
  <c r="C85"/>
  <c r="Q82"/>
  <c r="O82"/>
  <c r="P78" s="1"/>
  <c r="M82"/>
  <c r="O81"/>
  <c r="O79"/>
  <c r="M79"/>
  <c r="O78"/>
  <c r="M78"/>
  <c r="N78" s="1"/>
  <c r="K78"/>
  <c r="J78"/>
  <c r="Q78" s="1"/>
  <c r="F78"/>
  <c r="O77"/>
  <c r="M77"/>
  <c r="Q76"/>
  <c r="P76"/>
  <c r="O76"/>
  <c r="N76"/>
  <c r="M76"/>
  <c r="J76"/>
  <c r="K76" s="1"/>
  <c r="F76"/>
  <c r="O75"/>
  <c r="M75"/>
  <c r="O74"/>
  <c r="P74" s="1"/>
  <c r="N74"/>
  <c r="M74"/>
  <c r="K74"/>
  <c r="J74"/>
  <c r="F74"/>
  <c r="M73"/>
  <c r="O72"/>
  <c r="M72"/>
  <c r="N70" s="1"/>
  <c r="O70"/>
  <c r="P70" s="1"/>
  <c r="J70"/>
  <c r="K70" s="1"/>
  <c r="F70"/>
  <c r="O64"/>
  <c r="M64"/>
  <c r="O63"/>
  <c r="P56" s="1"/>
  <c r="Q56" s="1"/>
  <c r="M63"/>
  <c r="N56" s="1"/>
  <c r="O61"/>
  <c r="M61"/>
  <c r="M57"/>
  <c r="O56"/>
  <c r="M56"/>
  <c r="J56"/>
  <c r="K56" s="1"/>
  <c r="F56"/>
  <c r="O52"/>
  <c r="M52"/>
  <c r="O51"/>
  <c r="P51" s="1"/>
  <c r="N51"/>
  <c r="M51"/>
  <c r="K51"/>
  <c r="J51"/>
  <c r="F51"/>
  <c r="F50" s="1"/>
  <c r="J50"/>
  <c r="I50"/>
  <c r="H50"/>
  <c r="G50"/>
  <c r="E50"/>
  <c r="D50"/>
  <c r="C50"/>
  <c r="M49"/>
  <c r="J49"/>
  <c r="K49" s="1"/>
  <c r="F49"/>
  <c r="M48"/>
  <c r="K48"/>
  <c r="J48"/>
  <c r="F48"/>
  <c r="M46"/>
  <c r="N44" s="1"/>
  <c r="O44"/>
  <c r="P44" s="1"/>
  <c r="M44"/>
  <c r="J44"/>
  <c r="Q44" s="1"/>
  <c r="F44"/>
  <c r="O42"/>
  <c r="O36"/>
  <c r="O35"/>
  <c r="M35"/>
  <c r="O34"/>
  <c r="M34"/>
  <c r="O33"/>
  <c r="M33"/>
  <c r="O31"/>
  <c r="M31"/>
  <c r="M29"/>
  <c r="O26"/>
  <c r="M26"/>
  <c r="O22"/>
  <c r="P21"/>
  <c r="O21"/>
  <c r="Q21" s="1"/>
  <c r="M21"/>
  <c r="O20"/>
  <c r="O19"/>
  <c r="M19"/>
  <c r="O17"/>
  <c r="M17"/>
  <c r="N14" s="1"/>
  <c r="O16"/>
  <c r="M16"/>
  <c r="O14"/>
  <c r="P14" s="1"/>
  <c r="M14"/>
  <c r="K14"/>
  <c r="J14"/>
  <c r="F14"/>
  <c r="F13" s="1"/>
  <c r="I13"/>
  <c r="H13"/>
  <c r="G13"/>
  <c r="E13"/>
  <c r="D13"/>
  <c r="C13"/>
  <c r="P12"/>
  <c r="J12"/>
  <c r="F12"/>
  <c r="K12" s="1"/>
  <c r="O10"/>
  <c r="P7" s="1"/>
  <c r="M10"/>
  <c r="O8"/>
  <c r="M8"/>
  <c r="N7"/>
  <c r="M7"/>
  <c r="K7"/>
  <c r="J7"/>
  <c r="Q7" s="1"/>
  <c r="F7"/>
  <c r="C131" l="1"/>
  <c r="F85"/>
  <c r="Q74"/>
  <c r="K50"/>
  <c r="J131"/>
  <c r="Q112"/>
  <c r="Q105"/>
  <c r="K104"/>
  <c r="Q14"/>
  <c r="Q51"/>
  <c r="Q109"/>
  <c r="Q49"/>
  <c r="F111"/>
  <c r="F131" s="1"/>
  <c r="K44"/>
  <c r="K97"/>
  <c r="K105"/>
  <c r="R70"/>
  <c r="J13"/>
  <c r="K13" s="1"/>
  <c r="Q70"/>
  <c r="J85"/>
  <c r="R78"/>
  <c r="K85" l="1"/>
  <c r="K111"/>
  <c r="K13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<sst xmlns="http://schemas.openxmlformats.org/spreadsheetml/2006/main" count="631" uniqueCount="436">
  <si>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</si>
  <si>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</si>
  <si>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</si>
  <si>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</si>
  <si>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</si>
  <si>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</si>
  <si>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</si>
  <si>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</si>
  <si>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</si>
  <si>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</si>
  <si>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</si>
  <si>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</si>
  <si>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</si>
  <si>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</si>
  <si>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</si>
  <si>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</si>
  <si>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</si>
  <si>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</si>
  <si>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</si>
  <si>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</si>
  <si>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</si>
  <si>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</si>
  <si>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</si>
  <si>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</si>
  <si>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</si>
  <si>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</si>
  <si>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</si>
  <si>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</si>
  <si>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</si>
  <si>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</si>
  <si>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</si>
  <si>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</si>
  <si>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</si>
  <si>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</si>
  <si>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</si>
  <si>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</si>
  <si>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</si>
  <si>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</si>
  <si>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</si>
  <si>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</si>
  <si>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</si>
  <si>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</si>
  <si>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</si>
  <si>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</si>
  <si>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</si>
  <si>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</si>
  <si>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</si>
  <si>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</si>
  <si>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</si>
  <si>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</si>
  <si>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</si>
  <si>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</si>
  <si>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</si>
  <si>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</si>
  <si>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</si>
  <si>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</si>
  <si>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</si>
  <si>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</si>
  <si>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</si>
  <si>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</si>
  <si>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</si>
  <si>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</si>
  <si>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</si>
  <si>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</si>
  <si>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</si>
  <si>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</si>
  <si>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</si>
  <si>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</si>
  <si>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</si>
  <si>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</si>
  <si>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</si>
  <si>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</si>
  <si>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</si>
  <si>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</si>
  <si>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</si>
  <si>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</si>
  <si>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</si>
  <si>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</si>
  <si>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</si>
  <si>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</si>
  <si>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</si>
  <si>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</si>
  <si>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</si>
  <si>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</si>
  <si>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</si>
  <si>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</si>
  <si>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</si>
  <si>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</si>
  <si>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</si>
  <si>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</si>
  <si>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</si>
  <si>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</si>
  <si>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</si>
  <si>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</si>
  <si>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</si>
  <si>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</si>
  <si>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</si>
  <si>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</si>
  <si>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</si>
  <si>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</si>
  <si>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</si>
  <si>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</si>
  <si>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</si>
  <si>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</si>
  <si>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</si>
  <si>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</si>
  <si>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</si>
  <si>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</si>
  <si>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</si>
  <si>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</si>
  <si>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</si>
  <si>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</si>
  <si>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</si>
  <si>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</si>
  <si>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</si>
  <si>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</si>
  <si>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</si>
  <si>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</si>
  <si>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</si>
  <si>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</si>
  <si>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</si>
  <si>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</si>
  <si>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</si>
  <si>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</si>
  <si>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</si>
  <si>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</si>
  <si>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</si>
  <si>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</si>
  <si>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</si>
  <si>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</si>
  <si>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</si>
  <si>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</si>
  <si>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</si>
  <si>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</si>
  <si>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</si>
  <si>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</si>
  <si>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</si>
  <si>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</si>
  <si>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</si>
  <si>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</si>
  <si>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</si>
  <si>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</si>
  <si>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</si>
  <si>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</si>
  <si>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</si>
  <si>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</si>
  <si>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</si>
  <si>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</si>
  <si>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</si>
  <si>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</si>
  <si>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</si>
  <si>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</si>
  <si>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</si>
  <si>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</si>
  <si>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</si>
  <si>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</si>
  <si>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</si>
  <si>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</si>
  <si>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</si>
  <si>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</si>
  <si>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</si>
  <si>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</si>
  <si>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</si>
  <si>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</si>
  <si>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</si>
  <si>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</si>
  <si>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</si>
  <si>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</si>
  <si>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</si>
  <si>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</si>
  <si>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</si>
  <si>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</si>
  <si>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</si>
  <si>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</si>
  <si>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</si>
  <si>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</si>
  <si>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</si>
  <si>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</si>
  <si>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</si>
  <si>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</si>
  <si>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</si>
  <si>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</si>
  <si>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</si>
  <si>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</si>
  <si>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</si>
  <si>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</si>
  <si>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</si>
  <si>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</si>
  <si>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</si>
  <si>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</si>
  <si>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</si>
  <si>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</si>
  <si>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</si>
  <si>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</si>
  <si>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</si>
  <si>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</si>
  <si>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</si>
  <si>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</si>
  <si>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</si>
  <si>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</si>
  <si>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</si>
  <si>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</si>
  <si>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</si>
  <si>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</si>
  <si>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</si>
  <si>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</si>
  <si>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</si>
  <si>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</si>
  <si>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</si>
  <si>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</si>
  <si>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</si>
  <si>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</si>
  <si>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</si>
  <si>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</si>
  <si>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</si>
  <si>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</si>
  <si>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</si>
  <si>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</si>
  <si>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</si>
  <si>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</si>
  <si>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</si>
  <si>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</si>
  <si>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</si>
  <si>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</si>
  <si>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</si>
  <si>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</si>
  <si>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</si>
  <si>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</si>
  <si>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</si>
  <si>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</si>
  <si>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</si>
  <si>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</si>
  <si>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</si>
  <si>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</si>
  <si>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</si>
  <si>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</si>
  <si>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</si>
  <si>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</si>
  <si>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</si>
  <si>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</si>
  <si>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</si>
  <si>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</si>
  <si>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</si>
  <si>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</si>
  <si>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</si>
  <si>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</si>
  <si>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</si>
  <si>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</si>
  <si>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</si>
  <si>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</si>
  <si>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</si>
  <si>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</si>
  <si>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</si>
  <si>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</si>
  <si>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</si>
  <si>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</si>
  <si>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</si>
  <si>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</si>
  <si>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</si>
  <si>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</si>
  <si>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</si>
  <si>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</si>
  <si>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</si>
  <si>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</si>
  <si>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</si>
  <si>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</si>
  <si>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</si>
  <si>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</si>
  <si>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</si>
  <si>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</si>
  <si>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</si>
  <si>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</si>
  <si>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</si>
  <si>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</si>
  <si>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</si>
  <si>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</si>
  <si>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</si>
  <si>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</si>
  <si>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</si>
  <si>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</si>
  <si>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</si>
  <si>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</si>
  <si>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</si>
  <si>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</si>
  <si>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</si>
  <si>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</si>
  <si>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</si>
  <si>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</si>
  <si>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</si>
  <si>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</si>
  <si>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</si>
  <si>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</si>
  <si>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</si>
  <si>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</si>
  <si>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</si>
  <si>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</si>
  <si>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</si>
  <si>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</si>
  <si>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</si>
  <si>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</si>
  <si>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</si>
  <si>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</si>
  <si>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</si>
  <si>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</si>
  <si>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</si>
  <si>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</si>
  <si>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</si>
  <si>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</si>
  <si>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</si>
  <si>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</si>
  <si>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</si>
  <si>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</si>
  <si>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</si>
  <si>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</si>
  <si>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</si>
  <si>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</si>
  <si>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</si>
  <si>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</si>
  <si>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</si>
  <si>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</si>
  <si>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</si>
  <si>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</si>
  <si>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</si>
  <si>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</si>
  <si>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</si>
  <si>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</si>
  <si>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</si>
  <si>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</si>
  <si>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</si>
  <si>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</si>
  <si>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</si>
  <si>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</si>
  <si>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</si>
  <si>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</si>
  <si>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</si>
  <si>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</si>
  <si>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</si>
  <si>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</si>
  <si>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</si>
  <si>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</si>
  <si>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</si>
  <si>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</si>
  <si>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</si>
  <si>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</si>
  <si>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</si>
  <si>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</si>
  <si>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</si>
  <si>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</si>
  <si>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</si>
  <si>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</si>
  <si>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</si>
  <si>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</si>
  <si>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</si>
  <si>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</si>
  <si>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</si>
  <si>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</si>
  <si>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</si>
  <si>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</si>
  <si>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</si>
  <si>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t xml:space="preserve"> о реализации муниципальных программ, действующих на территории Усть-Абаканского района Республики Хакасия за 1 квартал 2026 год.</t>
  </si>
  <si>
    <r>
      <t>Реализация мер по охране окружающей среды -239,15 (МБ).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Реализация мероприятий по охране окружающей среды - 239,15 (МБ).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Возмещение энергосбытовым организациям недополученных доходов, возникающих в связи с изменением порядка оплаты платежа за электроэнергию, потребляемую в частных домовладениях, переводимых на электрическое отопление.</t>
    </r>
  </si>
  <si>
    <r>
      <rPr>
        <b/>
        <i/>
        <sz val="15"/>
        <rFont val="Times New Roman"/>
        <family val="1"/>
        <charset val="204"/>
      </rPr>
      <t xml:space="preserve">2.Осуществление отдельных государственных полномочий по предупреждению и ликвидации болезней животных - 368,8  (РХ), из них: </t>
    </r>
    <r>
      <rPr>
        <sz val="15"/>
        <rFont val="Times New Roman"/>
        <family val="1"/>
        <charset val="204"/>
      </rPr>
      <t>заработная плата – 242,1; больничный лист- 3,8; начисления на выплаты по оплате труда – 85,5, содержание биотермической ямы  - 35,4;  запчасти и масло на автомобиль - 2,0, ремонт 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</si>
  <si>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0,83 (МБ):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- 0,83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- 0,83.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</si>
  <si>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Обеспечение деятельности органов местного самоуправления - 2909,82, в том числе:  2541,02 (МБ),                                                                                            368,8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- 2541,02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–1749,3;                                                                                                                                                                                                                                                                                                                                                                                                                                                                                                                                                                                                                                                                                                                                                           2.Начисления на выплаты по оплате труда – 360,52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3.Работы, услуги по содержанию имущества – 351,5;                                                                                                                                                                      4.Страхование -5,9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5.Увеличение стоимости основных средств - 8,1 ;                                                                                                                            6.Увеличение стоимости материальных запасов - 21,6;                                                                                                                                                                      7. Прочие расходы - 44,1.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</si>
  <si>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Проведение районного конкурса "Предприниматель 2026 года" запланировано на 2 квартал 2026 года.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</si>
  <si>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1898,1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</si>
  <si>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2026 года.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</si>
  <si>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>1.Мероприятия по обеспечению сохранности существующей сети автомобильных дорог общего пользования местного значения - 521,5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1. 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муниципального района Республики Хакасия-                                                433,8;                                                                                                                                                                                                  2. Выполнение работ по содержанию автомобильных дорог местного значения в границах сельского поселения Расцветовского сельсовета Усть-Абаканского муниципального района Республики Хакасия - 87,7.</t>
    </r>
  </si>
  <si>
    <r>
      <rPr>
        <b/>
        <sz val="15"/>
        <rFont val="Times New Roman"/>
        <family val="1"/>
        <charset val="204"/>
      </rPr>
      <t xml:space="preserve">Поддержка и развитие систем коммунальной инфраструктуры: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«Капитальный ремонт в муниципальных учреждениях, в том числе проектно-сметная документация»- 150,0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Актуализация электронной модели системы теплоснабжения и плана действий по ликвидации последствий аварийных ситуаций на системе теплоснабжения Усть-Абаканского района.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</si>
  <si>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- 3893,1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- 2829,64; социальные пособия - 6,5; начисления на выплаты по оплате труда - 690,84; услуги связи - 29,64; коммунальные услуги- 104,28; услуги по содержанию имущества - 12,7 ; прочие работы, услуги - 54,7; увеличение стоимости мат.запасов - 164,0; прочие налоги и сборы - 0,8.</t>
    </r>
  </si>
  <si>
    <r>
      <rPr>
        <b/>
        <sz val="15"/>
        <rFont val="Times New Roman"/>
        <family val="1"/>
        <charset val="204"/>
      </rPr>
      <t xml:space="preserve">Мероприятия по повышению безопасности дорожного движения - 1,0 (МБ), из них: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^Покупка грамот для конкурса "Безопасное колесо".    </t>
    </r>
  </si>
  <si>
    <r>
      <t>Содействие формированию туристической инфраструктуры и материально-технической базы.                                                         1.</t>
    </r>
    <r>
      <rPr>
        <b/>
        <i/>
        <sz val="15"/>
        <rFont val="Times New Roman"/>
        <family val="1"/>
        <charset val="204"/>
      </rPr>
      <t xml:space="preserve">Развитие музеев под открытым небом, в том числе разработка проектно-сметной документации- 1061,63, из них 21,23 (МБ), 1040,4(РХ).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ограждения МАУК "Музей "Салбык" (кредиторская задолженность)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</si>
  <si>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- 793,47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- 460,43; 2. Начисления на выплаты по оплате труда (ст. 213) - 102,84; 3. Коммунальные услуги (ст.223) -99,99; 4. Прочие работы, услуги (тех. обслуживание системы видеонаблюдения  (ст. 226) - 8,4; 5. Страхование (ст. 227) - 6,09;  6. Увеличение стоимости основных средств (ст.310) - 2,61; 7.Остаток на счете - 113,11.                                                                                                                                                                                                                 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</si>
  <si>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- 9387,89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 6713,54; 2. Пособия по временной нетрудоспособности (ст. 266) - 9,28; 3. Начисления на выплаты по оплате труда (ст.213) — 1642,91; 4. Услуги связи (ст.221) — 3,54; 5. Коммунальные услуги (ст.223) — 651,23; 6. Услуги по содержанию имущества (ст.225) —61,79; 7. Прочие работы, услуги (ст.226) — 26,32;  8. Увеличение стоимости основных средств (ст.310) - 1,84; 9. Увеличение стоимости прочих оборотных запасов (материалов) (ст.340) - 47,34; 10. Прочие расходы (ст.290) — 0,74; 11. Остаток на счете - 229,36.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</si>
  <si>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2.Укрепление материально-технической базы- 50,0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- 50,0.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</si>
  <si>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- 108,36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СШ. 1. Первенство СФО по боксу г.Кемерово  - 9,67 (проезд, суточные); 2. Всероссийское соревнования по хоккею с мячом "Плетеный мяч" г.Новосибирск- 35,63 (проезд, проживание, суточные); 3. Всероссийское соревнование по хоккею с мячом г.Кемерово- 16,9 (проезд, суточные); 4. Межрегиональный Восточный баскетбольный лиги среди девочек г.Барнаул -7,77 (проезд, проживание, суточные); 5. Фестиваль единоборств по косики кататэ-до, г.Барнаул - 9,63 (проезд, проживание, суточные); 6. Открытое первенство СШ по настольному теннису г.Ачинск(проезд, проживание, суточные)- 6,07; 7. ГТО-6,64; 8. Остаток на счете - 16,05.                                                                                                    </t>
    </r>
  </si>
  <si>
    <r>
      <t xml:space="preserve">3.Обеспечение деятельности подведомственных учреждений МАУ "Универсальный спортивный зал» -                          5319,89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-3450,71; 2. Пособия по временной нетрудоспособности - 6,68; 3. Начисления на выплаты по оплате труда (ст.213) — 842,75; 4. Коммунальные услуги (ст.223) - 731,63; 5. Услуги по содержанию имущества (ст.225) - 107,04; 6. Прочие работы, услуги (ст.226) — 22,49; 7.Остаток на счете - 158,59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</si>
  <si>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- 230,96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- 49,64 (медали, кубки, призы, фотобумага, торт, сертификат на приобр.инвентаря); 2. Открытый турнир по футзалу среди девочек - 8,16 (медали, кубки, призы, фотобумага); 3. Районный турнир по волейболу среди девочек"Наш выбор-здоровое будущее!" - 3,9 (медали, кубки, призы); 4. Фестиваль ВФСК "ГТО" посвящ.8марта - 6,1 (медали, кубки); 5. Фестиваль ВФСК "ГТО" среди семейных команд23 февраля - 6,84 (медали, кубки); 6.Остаток на счете - 22,74                                                                                                                                                                   УСЗ. 1.Открытый турнир по футзалу - 10,49 (призы); 2. Лыжня России - 8,32 (призы); 3. Размещение видеосюжетов -100,0; 4.Остаток на счете-14,77</t>
    </r>
  </si>
  <si>
    <r>
      <t xml:space="preserve">2.Оценка недвижимости, признание прав и регулирование отношений по государственной и муниципальной собственности - 8,0 (МБ).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Рыночная оценка муниципального имущества-8,0.</t>
    </r>
  </si>
  <si>
    <r>
      <rPr>
        <b/>
        <sz val="15"/>
        <rFont val="Times New Roman"/>
        <family val="1"/>
        <charset val="204"/>
      </rPr>
      <t xml:space="preserve">4.Мероприятия по подготовке градостроительной документации - 30,0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^Подготовка документов тер.планирования и правил землепользования и застройки - 30,0.</t>
    </r>
  </si>
  <si>
    <r>
      <t>6.Обеспечение обслуживания, содержания и распоряжения муниципальной собственностью - 51,8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^Охрана муниципального имущества - 3,0;                                                                                                                                                               ^Транспортный налог -6,0;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-12,8;                                                                                                                                                                                                           ^Оценка муниципального имущества -30,0.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</si>
  <si>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1.Органы местного самоуправления - 7288,4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1.Оплата труда - 4251,77; 2.Командиров.р-ды - 5,6; 3.Начисл.на опл.тр. - 962,05; 4.Услуги связи - 52,72; 5. Заправка картриджей - 28,76; 6.Обслуж.и обновл.прогр. - 90,70; 7. Приоб. конвертов- 52,13; 8. Ремонт автомобилей,обслуживание здания управления - 15,80; 9. Монтаж, демонтаж и обслуживание приборов учета тепловой энергии - 65,0; 10. Электротех. обслуж-ие и текущ. ремонт внутриобъект. электрооборуд. помещений- 17,23; 11.Медосмотр водителя, прочие работы - 11,95; 12.Приобретение канц.товаров, хоз.товаров - 67,82; 13.Приобретение шин для автомобиля - 30,2; 14. Приобретение ГСМ - 299,0;15.Коммунальные расходы - 419,17;  16.Транспортный налог, земельный налог, налог на имущество - 918,5.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</si>
  <si>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2.Осуществление органами местного самоуправления государственных полномочий в области охраны труда - 139,40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начислениями- 139,40.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</si>
  <si>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- 129,90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1.Приобретение специальной одежды  - 13,1;                                                                                                                                                                   2.Проведение специальной оценки условий труда - 5,4;                                                                                                                                                                                             3.Проведение обучения по охране труда  - 43,8;                                                                                                                                                                      4.Проведение мед.осмотров - 67,6.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</si>
  <si>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915,4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- 915,4.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</si>
  <si>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487,6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</si>
  <si>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- 2055,7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1922,3 (МБ),   133,4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- 1847,9;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-30,0;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- 4,4;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- 40,0 (3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133,4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</si>
  <si>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сертификатом- 7676,0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Выдано 2 сертификата на приобретение жилых помещений.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</si>
  <si>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- 2543,67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 - 2261,23; услуги связи- 157,1, коммунальные услуги - 42,13, услуги по содержанию имущества- 8,11, прочие услуги- 33,0 страховка - 6,0; приобретение мат.запасов- 36,1.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</si>
  <si>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- 10 012,83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252 дет.- 7321,33;  вознаграждение приемным семьям 37 чел. - 2691,5                </t>
    </r>
  </si>
  <si>
    <r>
      <t xml:space="preserve">Включение детей и молодежи в общественную деятельность патриотической направленности.                                                                               Мероприятия, направленные на патриотическое воспитание граждан - 258,5 (МБ), из них:                                                                                     </t>
    </r>
    <r>
      <rPr>
        <sz val="15"/>
        <rFont val="Times New Roman"/>
        <family val="1"/>
        <charset val="204"/>
      </rPr>
      <t>1. ЦДО :кубки, медали, подарочные сертификаты.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</si>
  <si>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- 628,2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 оплата труда - 628,2.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</si>
  <si>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- 23,5 (МБ)</t>
    </r>
    <r>
      <rPr>
        <sz val="15"/>
        <rFont val="Times New Roman"/>
        <family val="1"/>
        <charset val="204"/>
      </rPr>
      <t>, из них:                                                  Награждение.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</si>
  <si>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 5183,0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труда- 4985,0, услуги связи - 13,19, коммунальные услуги - 96,84,  услуги по сод.имущества - 19,79 , прочие услуги - 61,64 , приобретение мат.запасов- 6,54.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</si>
  <si>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 18861,16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- 12 920,27,  услуги связи - 9,77, транспортные услуги -78,00, коммунальные услуги -3 359,83, услуги по сод.имущества - 864,23, прочие услуги - 232,70, прочие расходы - 770,55, приобретение основных средств - 21,41, приобретение мат.запасов - 604,40.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</si>
  <si>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- 116,90 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Замена насоса  д/с Калинка - 99,90 , испытание пожарных кранов: д/с Родничок - 12,00; испытание  качества огнезащитной обработки кровли: д/с Родничок - 5,00.</t>
    </r>
  </si>
  <si>
    <r>
      <t xml:space="preserve">2.Капитальный ремонт в муниципальных учреждениях, в том числе проектно-сметная документация -                      174,0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Разработка проектно-сметной документации кап.ремонта здания МБДОУ "ДС "Родничок" (аванс 30 %) - 174,00.</t>
    </r>
  </si>
  <si>
    <r>
      <t xml:space="preserve">2.Капитальный ремонт в муниципальных учреждениях, в том числе проектно-сметная документация-693,0 (МБ)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Разработка проектно-сметной документации кап.ремонта здания: (аванс 30 %)  МБОУ "Расцветская СОШ" - 177,00; МБОУ "Усть-Абаканская СОШ им. М.Е. Орлова" - 177,00; МБОУ "Сапоговская СОШ" - 165,00; Разработка проектно-сметной документации кап.ремонта здания: МБОУ "В-Биджинская СОШ" - 174,00.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</si>
  <si>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- 179085,75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труда-177 666,05, услуги связи - 100,00; прочие услуги- 80,97, приобретение основных средств- 769,69, приобретение мат.запасов - 469,04.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</si>
  <si>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- 242,12 (МБ), </t>
    </r>
    <r>
      <rPr>
        <sz val="15"/>
        <rFont val="Times New Roman"/>
        <family val="1"/>
        <charset val="204"/>
      </rPr>
      <t>из них: оплата труда-238,63, приобретение мат.запасов-3,49</t>
    </r>
  </si>
  <si>
    <r>
      <t>4.Обеспечение деятельности подведомственных учреждений (Муниципальное казенное и учреждение "Центр психолого-педагогической, медицинской и социальной помощи "ГРАНИЦ.НЕТ")- 416,86 (МБ):</t>
    </r>
    <r>
      <rPr>
        <sz val="15"/>
        <rFont val="Times New Roman"/>
        <family val="1"/>
        <charset val="204"/>
      </rPr>
      <t>оплата труда-394,34, услуги связи- 4,2, прочие услуги-7,8 , приобретение мат.запасов- 10,52.</t>
    </r>
  </si>
  <si>
    <t>5.Выплата дополнительных мер социальной поддержки студентам, обучающимся в образовательных организациях высшего образования по договорам о целевом обучении- 6,68 (МБ).</t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</si>
  <si>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- 2353,06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их них: оплата труда-2 025,76, услуги связи-20,56, услуги по сод.имущества-5,29, прочие услуги- 252,68,  приобретение мат.запасов-48,77. </t>
    </r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</si>
  <si>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- 253,28(ФБ).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</si>
  <si>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организациях (в том числе софинансирование с федеральным бюджетом) -  647,04, из них  6,47(РХ), 640,57(ФБ).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</si>
  <si>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i/>
        <sz val="15"/>
        <rFont val="Times New Roman"/>
        <family val="1"/>
        <charset val="204"/>
      </rPr>
      <t xml:space="preserve">6.Организация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11897,00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118,97(МБ), 117,78(РХ), 11660,25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</si>
  <si>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r>
      <t xml:space="preserve">5.Реализация мероприятий по предоставлению  школьного питания - 254,96 (МБ)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школьного питания</t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</si>
  <si>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- 490,17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(225) Испытание пожарных кранов: Усть-Абаканская СОШ - 7,2 руб,   аварийно-восстановительный ремонт кровли Усть-Абаканская СОШ - 87,74;  установка оконного блока в спортзале Усть-Абаканская СОШ - 206,73.</t>
    </r>
  </si>
  <si>
    <t>Приобретение для награждения в конкурсах "Учитель года", "Педагог ДОО" "Про100Лидеры"-64,54.</t>
  </si>
  <si>
    <t>(310) установка бюста Усть-Абаканская СОШ - 120,0 руб.;  поставка огнетушителей Опытненская СОШ - 3,96.</t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</si>
  <si>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организации)-54 640,82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 - оплата труда- 22 015,50, услуги связи-148,37, транспортные услуги- 1 650,48, коммунальные услуги-17 521,18, аренда-117,44, услуги по сод.имущества-                                                                        2 766,16, прочие услуги-2 090,71 , страхование-142,20, прочие расходы- 1 866,63, приобретение основных средств-28,86, приобретение мат.запасов-6 293,29.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</si>
  <si>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- 7629,9 (МБ),</t>
    </r>
    <r>
      <rPr>
        <sz val="15"/>
        <rFont val="Times New Roman"/>
        <family val="1"/>
        <charset val="204"/>
      </rPr>
      <t xml:space="preserve"> из них: оплата труда-             6 760,94, услуги связи-34,50, коммунальные услуги-287,15, услуги по сод.имущества- 81,93, прочие услуги-267,1, приобретение мат.запасов-198,28.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</si>
  <si>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- 35361,0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труда-35 106,19, услуги связи-29,97, прочие услуги- 25,4, приобретение мат.запасов- 199,44.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</si>
  <si>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 18531,8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</si>
  <si>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- 7248,2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4544,9; 2. Начисления на выплаты по оплате труда (ст.213) — 993,49; 3. Услуги связи (ст.221) — 11,72; 4. Коммунальные услуги (ст.223) — 1059,09; 5. Работы, услуги по содержанию имущества (ст.225) — 52,75; 6. Прочие работы, услуги (ст.226) — 106,23 (услуги механика-7,64, ТО оборудования-9,0, установка стабилизатора-9,7, предрейс.осмотр водителей-6,34,  доступ к приложению Пушкинская карта-25,9, побсл.сайта-10,0, охрана-37,65); 7. Увеличение стоимости строительных материалов (ст.340) - 49,52; 8. Страхование (ст.227) —9,03; 9. Увеличение стоимости основных средств (ст.310) — 16,64; 10. Налоги, сборы  прочие (290) - 0,65; 11. Остаток на счете - 404,18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</si>
  <si>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- 102,02.</t>
    </r>
  </si>
  <si>
    <r>
      <t xml:space="preserve">3.Обеспечение безопасности музейного фонда и развитие музеев - 18,5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1.Нац.одежда "Сигидек"-18,5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</si>
  <si>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- 29,58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- 3,18; 2. Квест "1941 Заполярье" - 3,25; 3. Возложение к могиле неизв. солдата - 3,9; 4. Мероприятие "Широкая Масленица" - 2,86; 5.Квиз "Время героев"-3,0; 6.Поздравление с 8 марта тружениц тыла-7,49; 7. Остаток на счете -5,9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</si>
  <si>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- 33,0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РДК: 1. остаток на счете -33,0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</si>
  <si>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- 6481,95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- 5168,52; 2. Начисления на выплаты по оплате труда (ст.213) - 1256,54;  3. Прочие работы, услуги (ст.226) - 53,3 (Консультант Плюс -20,51; адаптация и модификация программ 1С - 30,0; предрейсовый мед. осмотр водителя-2,79); 4. Страхование (ст. 227) - 3,59.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</si>
  <si>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- 1168,55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(ст.211,266) - 917,55; 2. Начисления на выплаты по оплате труда (ст.213) - 220,59;  3. Прочие работы и услуги (ст.226) - 30,41 (Консультант Плюс - 20,51, сопровождение сайта - 9,9).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</si>
  <si>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- 499,6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- 357,6; 2. Начисления на выплаты по оплате труда (ст.213) - 82,38;  3. Услуги связи (ст.221) - 0,72; 4.Работы, услуги по содержанию имущества(ст.225) - 7,85; 5. Увеличение стоимости основных средств (ст. 310) - 5,95; 6. Увеличение стоимости материальных запасов (ст.340) - 1,1; 7. Остаток на счете -44,0.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</si>
  <si>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- 60,6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1. День Студента-5,0 (сувениры); 2.Акция "Блокадный Хлеб"-3,9 (хлеб); 3.Районный проект "Школа волонтеров"-7,8; 4. Акция "Дарю тепло"-7,1; 5.Остаток на счете-36,8.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</si>
  <si>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- 91,6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1. Народные гуляния "Широкая Масленица" - 50,18; 2. остаток на счете-15,5.                                                                                                                    РДК: 1. Выставка-конкурс "На страже Родины" -0,52;  2. конкурс ДПИ "Мир спичек" - 0,9; 3.Остаток на счете - 24,5.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</si>
  <si>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учреждений(ДШИ)- 5063,2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(ст.211,266) - 3526,12; 2. Начисления на выплаты по оплате труда (ст.213) - 778,72; 3. Услуги связи (ст.221) - 0,65; 4. Коммунальные услуги (ст.223) - 490,51; 5. Услуги по содержанию имущества (ст.225) - 12,1; 6. Прочие работы, услуги (ст.226) - 57,59;  7. Остаток на счете - 197,51.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</si>
  <si>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8948,5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1. Заработная плата (ст.211) -6387,73; 2. Соц. пособия (Б. листы) (ст. 266) - 30,6; 3. Начисления на выплаты по оплате труда (ст.213) - 1348,12; 4. Услуги связи (ст.221) - 56,54; 5. Коммунальные услуги (ст.223) - 567,09; 6. Услуги по содержанию имущества (ст.225) - 38,53; 7. Прочие работы, услуги (ст.226) - 8,15 (услуги по охране-7,8, предр.осмотр-0,35);  8. Увеличение стоимости основных средств (ст.310) - 3,3;  9. Остаток на счете - 508,44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</si>
  <si>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- 1331,9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758,05; 2. Начисления на выплаты по оплате труда (ст.213) — 151,46; 3. Услуги связи (ст.221) - 7,25; 4. Коммунальные услуги (ст.223) — 177,73; 5. Работы, услуги по содержанию имущества (ст.225) — 18,9; 6. Прочие работы, услуги (ст.226) — 42,1; 7. Увеличение стоимости строительных материалов (ст.340) - 174,68; 8.Увеличение стоимости основных средств (ст.310) — 0,12; 9. Остаток на счете -1,61.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</si>
  <si>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2. Выравнивание бюджетной обеспеченности  бюджетов муниципальных образований Усть-Абаканского района - 26011,60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^Дотации на выравнивание бюджетной обеспеченности поселений - 26011,60.                                                       </t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</si>
  <si>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- 4966,9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3501,7; начисления на выплаты по оплате труда – 710,7;  услуги связи-40,3; работы, услуги по содержанию имущества – 9,5 ; прочие работы, услуги - 686,1 ; увеличение стоимости материальных запасов – 18,6.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</si>
  <si>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- 2247,1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- 1827,2; начисления на выплаты по оплате труда – 340,4; услуги связи – 17,5;  работы,услуги по содержанию имущества -2,5; прочие работы, услуги – 5,3; увеличение стоимости материальных запасов – 54,0; налоги - 0,2.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</si>
  <si>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- 170,7 (РХ).    </t>
  </si>
  <si>
    <t>^Осуществление полномочий по расчету и предоставлению дотаций бюджетам поселений- 47,0 (РХ).</t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</si>
  <si>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- 371,0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- 153,3 (РХ)      </t>
    </r>
  </si>
  <si>
    <r>
      <t>5.Финансовое обеспечение расходных обязательств поселений на решение вопросов местного значения - 3501,0  (МБ).   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Иные межбюджетные трансферты на частичное погашение кредиторской задолженностия - 3501,0 (МБ).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</si>
  <si>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- 328,8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в том числе: ДК: 1. Конкурс рисунков "Зимние фантазии" - 1,6; 2. концерт "Мужчины России-защитники наши"-83,56;                                      3.Остаток на счете-21,13                                                                                                                                                                          РДК: 1. Конкурс "Парень России - 8,88; 2.Остаток на счете-213,63</t>
    </r>
  </si>
  <si>
    <t xml:space="preserve"> В 1 квартале 2026 оплачено 1 свидетельство  о праве на получение социальной выплаты на приобретение жилого помещения или создание объекта индивидуального строительства на сумму -3 296,7; остаток субсидии  будет реализован во втором квартале.                                                            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</si>
</sst>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0" fontId="31" fillId="0" borderId="10" xfId="0" applyFont="1" applyFill="1" applyBorder="1" applyAlignment="1">
      <alignment horizontal="left" vertical="center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Border="1" applyAlignment="1">
      <alignment vertical="top"/>
    </xf>
    <xf numFmtId="2" fontId="31" fillId="0" borderId="9" xfId="0" applyNumberFormat="1" applyFont="1" applyFill="1" applyBorder="1" applyAlignment="1">
      <alignment horizontal="left" vertical="center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22" xfId="0" applyFont="1" applyFill="1" applyBorder="1" applyAlignment="1">
      <alignment horizontal="left" vertical="center"/>
    </xf>
    <xf numFmtId="165" fontId="31" fillId="0" borderId="10" xfId="0" applyNumberFormat="1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33" fillId="0" borderId="8" xfId="0" applyNumberFormat="1" applyFont="1" applyFill="1" applyBorder="1" applyAlignment="1">
      <alignment horizontal="left" vertical="top" wrapText="1"/>
    </xf>
    <xf numFmtId="2" fontId="31" fillId="0" borderId="0" xfId="0" applyNumberFormat="1" applyFont="1" applyFill="1" applyBorder="1" applyAlignment="1">
      <alignment horizontal="left" vertical="center"/>
    </xf>
    <xf numFmtId="165" fontId="33" fillId="0" borderId="8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vertical="top" wrapText="1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0" fontId="31" fillId="0" borderId="1" xfId="0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center" vertical="top" wrapText="1"/>
    </xf>
    <xf numFmtId="167" fontId="31" fillId="0" borderId="12" xfId="0" applyNumberFormat="1" applyFont="1" applyFill="1" applyBorder="1" applyAlignment="1">
      <alignment horizontal="center" vertical="top"/>
    </xf>
    <xf numFmtId="2" fontId="31" fillId="0" borderId="21" xfId="0" applyNumberFormat="1" applyFont="1" applyFill="1" applyBorder="1" applyAlignment="1">
      <alignment horizontal="left" vertical="center"/>
    </xf>
    <xf numFmtId="165" fontId="32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165" fontId="32" fillId="0" borderId="8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 wrapTex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/>
    </xf>
    <xf numFmtId="164" fontId="32" fillId="0" borderId="9" xfId="0" applyNumberFormat="1" applyFont="1" applyFill="1" applyBorder="1" applyAlignment="1">
      <alignment vertical="top"/>
    </xf>
    <xf numFmtId="0" fontId="32" fillId="0" borderId="8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165" fontId="34" fillId="0" borderId="21" xfId="0" applyNumberFormat="1" applyFont="1" applyFill="1" applyBorder="1" applyAlignment="1">
      <alignment vertical="top" wrapTex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8" xfId="0" applyFont="1" applyFill="1" applyBorder="1" applyAlignment="1">
      <alignment horizontal="left" vertical="top" wrapText="1"/>
    </xf>
    <xf numFmtId="165" fontId="33" fillId="0" borderId="5" xfId="0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10" xfId="0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6" xfId="0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5" fontId="32" fillId="0" borderId="6" xfId="0" applyNumberFormat="1" applyFont="1" applyFill="1" applyBorder="1" applyAlignment="1">
      <alignment vertical="top" wrapText="1"/>
    </xf>
    <xf numFmtId="0" fontId="31" fillId="0" borderId="22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8" xfId="0" applyNumberFormat="1" applyFont="1" applyFill="1" applyBorder="1" applyAlignment="1">
      <alignment vertical="top"/>
    </xf>
    <xf numFmtId="0" fontId="31" fillId="0" borderId="2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top" wrapTex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0" fontId="31" fillId="0" borderId="0" xfId="0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top"/>
    </xf>
    <xf numFmtId="4" fontId="9" fillId="0" borderId="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8" xfId="0" applyNumberFormat="1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0" fontId="9" fillId="0" borderId="7" xfId="0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165" fontId="31" fillId="0" borderId="7" xfId="0" applyNumberFormat="1" applyFont="1" applyFill="1" applyBorder="1" applyAlignment="1">
      <alignment horizontal="center" vertical="top"/>
    </xf>
    <xf numFmtId="165" fontId="31" fillId="0" borderId="1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8" xfId="0" applyNumberFormat="1" applyFont="1" applyFill="1" applyBorder="1" applyAlignment="1">
      <alignment horizontal="center" vertical="top" shrinkToFit="1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1" fillId="0" borderId="9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0" fontId="31" fillId="0" borderId="0" xfId="0" applyFont="1" applyFill="1" applyAlignment="1"/>
    <xf numFmtId="164" fontId="32" fillId="0" borderId="6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4" xfId="0" applyNumberFormat="1" applyFont="1" applyFill="1" applyBorder="1" applyAlignment="1">
      <alignment horizontal="left" vertical="top" wrapText="1"/>
    </xf>
    <xf numFmtId="165" fontId="31" fillId="0" borderId="11" xfId="0" applyNumberFormat="1" applyFont="1" applyFill="1" applyBorder="1" applyAlignment="1">
      <alignment vertical="top" wrapText="1"/>
    </xf>
    <xf numFmtId="165" fontId="31" fillId="0" borderId="12" xfId="0" applyNumberFormat="1" applyFont="1" applyFill="1" applyBorder="1" applyAlignment="1">
      <alignment vertical="top" wrapText="1"/>
    </xf>
    <xf numFmtId="165" fontId="33" fillId="0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05" t="s">
        <v>92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7" ht="34.5" customHeight="1">
      <c r="A2" s="605" t="s">
        <v>106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06" t="s">
        <v>17</v>
      </c>
      <c r="B4" s="606" t="s">
        <v>18</v>
      </c>
      <c r="C4" s="608" t="s">
        <v>19</v>
      </c>
      <c r="D4" s="609"/>
      <c r="E4" s="609"/>
      <c r="F4" s="610"/>
      <c r="G4" s="608" t="s">
        <v>0</v>
      </c>
      <c r="H4" s="609"/>
      <c r="I4" s="609"/>
      <c r="J4" s="610"/>
      <c r="K4" s="611" t="s">
        <v>86</v>
      </c>
      <c r="L4" s="606" t="s">
        <v>20</v>
      </c>
      <c r="M4" s="5" t="s">
        <v>88</v>
      </c>
      <c r="P4" s="72"/>
    </row>
    <row r="5" spans="1:17" s="5" customFormat="1" ht="28.5" customHeight="1">
      <c r="A5" s="607"/>
      <c r="B5" s="607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12"/>
      <c r="L5" s="607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587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587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587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587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17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17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587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587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587"/>
    </row>
    <row r="81" spans="1:16" ht="322.5" customHeight="1">
      <c r="A81" s="21" t="s">
        <v>31</v>
      </c>
      <c r="B81" s="596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597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597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597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597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597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597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597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13"/>
      <c r="C90" s="590"/>
      <c r="D90" s="590"/>
      <c r="E90" s="615"/>
      <c r="F90" s="590"/>
      <c r="G90" s="590"/>
      <c r="H90" s="590"/>
      <c r="I90" s="590"/>
      <c r="J90" s="590"/>
      <c r="K90" s="592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14"/>
      <c r="C91" s="591"/>
      <c r="D91" s="591"/>
      <c r="E91" s="616"/>
      <c r="F91" s="591"/>
      <c r="G91" s="591"/>
      <c r="H91" s="591"/>
      <c r="I91" s="591"/>
      <c r="J91" s="591"/>
      <c r="K91" s="593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02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03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594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595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595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595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598" t="s">
        <v>49</v>
      </c>
      <c r="B131" s="600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599"/>
      <c r="B132" s="601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588" t="s">
        <v>54</v>
      </c>
      <c r="B141" s="589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04" t="s">
        <v>110</v>
      </c>
      <c r="B153" s="604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  <mergeCell ref="R97:R100"/>
    <mergeCell ref="B81:B88"/>
    <mergeCell ref="A131:A132"/>
    <mergeCell ref="B131:B132"/>
    <mergeCell ref="P95:P96"/>
    <mergeCell ref="P78:P80"/>
    <mergeCell ref="A141:B141"/>
    <mergeCell ref="H90:H91"/>
    <mergeCell ref="I90:I91"/>
    <mergeCell ref="J90:J91"/>
    <mergeCell ref="K90:K91"/>
    <mergeCell ref="F90:F91"/>
    <mergeCell ref="G90:G91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76" t="s">
        <v>92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</row>
    <row r="2" spans="1:26" ht="34.5" customHeight="1">
      <c r="A2" s="676" t="s">
        <v>222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77" t="s">
        <v>17</v>
      </c>
      <c r="B4" s="677" t="s">
        <v>18</v>
      </c>
      <c r="C4" s="679" t="s">
        <v>19</v>
      </c>
      <c r="D4" s="680"/>
      <c r="E4" s="680"/>
      <c r="F4" s="681"/>
      <c r="G4" s="679" t="s">
        <v>0</v>
      </c>
      <c r="H4" s="680"/>
      <c r="I4" s="680"/>
      <c r="J4" s="681"/>
      <c r="K4" s="682" t="s">
        <v>211</v>
      </c>
      <c r="L4" s="677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78"/>
      <c r="B5" s="678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83"/>
      <c r="L5" s="678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43">
        <f>M7+M9+M10+M11+M12+M13+M14+M16</f>
        <v>21214.799999999999</v>
      </c>
      <c r="O7" s="673">
        <f>124+19.3+165.3+19.3+120.9+200+182.6+220+220+183.4+183.4+120.9+111.8+742.3+800+27.9+200+183.4+3.1+20</f>
        <v>3847.6000000000004</v>
      </c>
      <c r="P7" s="618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44"/>
      <c r="O8" s="631"/>
      <c r="P8" s="619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44"/>
      <c r="O9" s="340">
        <f>35.7+815.5</f>
        <v>851.2</v>
      </c>
      <c r="P9" s="619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44"/>
      <c r="O10" s="273">
        <f>94.7+3173.5</f>
        <v>3268.2</v>
      </c>
      <c r="P10" s="620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44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44"/>
      <c r="O12" s="353">
        <f>6546.3+109.7+128.5+2033.7+114.6+64.6+126.8+3.2+4.5+247.1+1426.6+11.9+5.1</f>
        <v>10822.600000000002</v>
      </c>
      <c r="P12" s="618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44"/>
      <c r="O13" s="340">
        <v>195</v>
      </c>
      <c r="P13" s="619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44"/>
      <c r="O14" s="273">
        <f>732.3+221.2+2863.1+125+4.1+112.5+131.3+5.5+0.2</f>
        <v>4195.2</v>
      </c>
      <c r="P14" s="620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44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45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74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44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44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44"/>
      <c r="O22" s="675">
        <f>106+199.1+122.1+138.32+22.75+23.44+112.27+168.57+130+55+37.9+8+13+7.8+4+122.4+53.84+40+2510.2+165.44+80.98+35+154.2+13.6+12.3+597.85+1133.3+1410.6+5+5+52.45+167.91+24.24+21.73+50.2+96.6</f>
        <v>7901.09</v>
      </c>
      <c r="P22" s="651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44"/>
      <c r="O23" s="675"/>
      <c r="P23" s="651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44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44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44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44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44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44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44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44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44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62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44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62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44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62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44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44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44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44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44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44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44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44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44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44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44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44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44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44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43">
        <f>M58+M59+M60+M63+M64+M62</f>
        <v>49262</v>
      </c>
      <c r="O58" s="287">
        <f>14839.58+52.96+259.32+193.83+81.02+7.84+95.59</f>
        <v>15530.14</v>
      </c>
      <c r="P58" s="628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44"/>
      <c r="O59" s="340">
        <f>15408+17.92+680.29+87.94+149.57+0.6+389.53+22.15+1125.9</f>
        <v>17881.900000000001</v>
      </c>
      <c r="P59" s="629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44"/>
      <c r="O60" s="340">
        <f>28474.84+27.26+880.59+337.67+770.05+128.51+912.06+793.87+1837.17</f>
        <v>34162.019999999997</v>
      </c>
      <c r="P60" s="629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44"/>
      <c r="O61" s="340"/>
      <c r="P61" s="629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44"/>
      <c r="O62" s="340">
        <f>566.2+8.5+50+2.5</f>
        <v>627.20000000000005</v>
      </c>
      <c r="P62" s="629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44"/>
      <c r="O63" s="340">
        <f>81.19+45+214.35</f>
        <v>340.53999999999996</v>
      </c>
      <c r="P63" s="629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45"/>
      <c r="O64" s="273">
        <f>6597.4+6.5+5.4+188.6+54.9</f>
        <v>6852.7999999999993</v>
      </c>
      <c r="P64" s="630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67" t="s">
        <v>28</v>
      </c>
      <c r="B68" s="596" t="s">
        <v>83</v>
      </c>
      <c r="C68" s="635">
        <v>5742.7</v>
      </c>
      <c r="D68" s="635">
        <v>387.3</v>
      </c>
      <c r="E68" s="669"/>
      <c r="F68" s="671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49">
        <f>O68+O69</f>
        <v>5850.7999999999993</v>
      </c>
      <c r="Q68" s="618">
        <f>J68-P68</f>
        <v>0</v>
      </c>
    </row>
    <row r="69" spans="1:17" s="244" customFormat="1" ht="126.75" customHeight="1">
      <c r="A69" s="668"/>
      <c r="B69" s="634"/>
      <c r="C69" s="636"/>
      <c r="D69" s="636"/>
      <c r="E69" s="670"/>
      <c r="F69" s="672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50"/>
      <c r="Q69" s="653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43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65">
        <f>1.5+27.08+10+35.78+384.4+34.9+8.1+9.84+4.31+150+4+7+3+6.65+6.96+37.52+4.42+9.9+17.92+3+10.45+25+10.39</f>
        <v>812.11999999999989</v>
      </c>
      <c r="N72" s="644"/>
      <c r="O72" s="665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65"/>
      <c r="N73" s="644"/>
      <c r="O73" s="665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66" t="s">
        <v>321</v>
      </c>
      <c r="M74" s="665">
        <f>1.5+19+4.75+9.74+9.94+3.6+43.83+180.03+138+45.67+129.1+15.81+16.84+6+11.3+10.56+10.39+7.28+73.51+2.5+5+751.26+2.85+70.25+142.64+30.53</f>
        <v>1741.8799999999994</v>
      </c>
      <c r="N74" s="644"/>
      <c r="O74" s="665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66"/>
      <c r="M75" s="665"/>
      <c r="N75" s="644"/>
      <c r="O75" s="665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44"/>
      <c r="O76" s="665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44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45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26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27"/>
      <c r="O83" s="631">
        <f>26.5+31.34+50+9.37+30+524.58+0.83+234.4+7.3+91.5+93.9+77.8+4.08+4.59+200+39.99+35.96+14.71+11.97+43.54+144.38+108.2+34.1+61.8+37.03+1012.8+11.93+72.8</f>
        <v>3015.3999999999996</v>
      </c>
      <c r="P83" s="651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27"/>
      <c r="O84" s="631"/>
      <c r="P84" s="651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27"/>
      <c r="O85" s="252">
        <v>217.8</v>
      </c>
      <c r="P85" s="651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27"/>
      <c r="O86" s="252">
        <f>951.1+19.4</f>
        <v>970.5</v>
      </c>
      <c r="P86" s="651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27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27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27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65">
        <f>3.46+13+2.4+20+4.5+11+50+5.1+10.5+2.1+500+220+32.66+8.85+25+2+22+22+5.4+24.6+8.4+17.03+27.61+1299.96+4.9+23.2+8+5.21+10.6+9.25+50.6</f>
        <v>2449.3299999999995</v>
      </c>
      <c r="N90" s="627"/>
      <c r="O90" s="252">
        <f>3.5+13+2.4+20+4.5+11+50+5.1+10.5+2.1+500+220+32.66+8.85+25+2+22+22+5.4</f>
        <v>960.01</v>
      </c>
      <c r="P90" s="651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65"/>
      <c r="N91" s="627"/>
      <c r="O91" s="665">
        <f>24.6+8.4+17.03+27.61+1299.96+4.9+23.2+8+5.21+10.6+9.25+119.42+9+14+50.25+264+258.32+9+6+5+19.3+3.44+1.5+2.5+2.56+0.04</f>
        <v>2203.0900000000006</v>
      </c>
      <c r="P91" s="651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27"/>
      <c r="O92" s="665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27"/>
      <c r="O93" s="665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41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26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31">
        <f>10+15.25+20+7+113.65+24.6+7+6.1+30+3+7.2+6.1+11.19+3+6+15+3+7.72+15+5.6+96+33.16+109+4.23+10</f>
        <v>568.80000000000007</v>
      </c>
      <c r="N98" s="627"/>
      <c r="O98" s="252">
        <f>10+15.25+20+7+113.65+24.6+4.26+10+14.98+38.75+30+93.97+35+102.66+10.02</f>
        <v>530.14</v>
      </c>
      <c r="P98" s="651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31"/>
      <c r="N99" s="627"/>
      <c r="O99" s="252">
        <f>7+6.1+30+3+7.2+6.1+11.2+3+6+15+3+7.72+15+5.6+96+22.72+109</f>
        <v>353.64</v>
      </c>
      <c r="P99" s="651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31"/>
      <c r="N100" s="627"/>
      <c r="O100" s="252">
        <f>40+10.6+26.04+4.6+13.11+76.6+14.97</f>
        <v>185.92</v>
      </c>
      <c r="P100" s="651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41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26">
        <f>M102+M103</f>
        <v>22512.099999999995</v>
      </c>
      <c r="O102" s="353">
        <f>5157.87+1604.54+9.38+21.84+9.6+410.07+8+1+3.5</f>
        <v>7225.8</v>
      </c>
      <c r="P102" s="618">
        <f>O102+O103</f>
        <v>30588.499999999996</v>
      </c>
      <c r="Q102" s="651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41"/>
      <c r="O103" s="273">
        <f>17006.24+5317.12+77.8+133.57+383.72+8.42+297.1+5.76+5.5+44.43+83.04</f>
        <v>23362.699999999997</v>
      </c>
      <c r="P103" s="620"/>
      <c r="Q103" s="651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59">
        <f>M104+M105</f>
        <v>1616.3999999999999</v>
      </c>
      <c r="O104" s="353">
        <f>1272.52+364.08+20.32+2.4+18.63+6.2+35.5+244.75+139</f>
        <v>2103.4</v>
      </c>
      <c r="P104" s="618">
        <f>O104+O105</f>
        <v>2641.4</v>
      </c>
      <c r="Q104" s="651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60"/>
      <c r="O105" s="333">
        <f>14+2.4+55+38.74+28.8+11.2+50+31.8+37+21+1+89.44+9.8+58.5+25.64+29.67+19+6.6+8.4+0.01</f>
        <v>538</v>
      </c>
      <c r="P105" s="620"/>
      <c r="Q105" s="661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26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27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27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27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27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27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27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27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27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27"/>
      <c r="O115" s="252">
        <f>12+4.56+14.5+30+25.35+9.45+21.76+12.97+8.16+10.29+4.14+8.5+4.05+12.15+6.4</f>
        <v>184.28</v>
      </c>
      <c r="P115" s="662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27"/>
      <c r="O116" s="252"/>
      <c r="P116" s="662"/>
      <c r="Q116" s="343"/>
    </row>
    <row r="117" spans="1:17" s="244" customFormat="1" ht="361.5" customHeight="1">
      <c r="A117" s="221"/>
      <c r="B117" s="613"/>
      <c r="C117" s="657"/>
      <c r="D117" s="657"/>
      <c r="E117" s="663"/>
      <c r="F117" s="657"/>
      <c r="G117" s="657"/>
      <c r="H117" s="657"/>
      <c r="I117" s="657"/>
      <c r="J117" s="657"/>
      <c r="K117" s="658"/>
      <c r="L117" s="12" t="s">
        <v>256</v>
      </c>
      <c r="M117" s="340">
        <f>7.68+5.67+10.2+8.1+4.8+2.56+4+6.35+7.06+3.7+1.5+1.24+5.9+28.89+2.53+4+20.5+26.64</f>
        <v>151.32</v>
      </c>
      <c r="N117" s="627"/>
      <c r="O117" s="252">
        <f>5.67+10.2+8.1+4.8+2.56+4+6.35+7.06+3.7+1.5+1.24+5.9+42.03+2.53+4+20.47+580+7.68</f>
        <v>717.79</v>
      </c>
      <c r="P117" s="662"/>
      <c r="Q117" s="343"/>
    </row>
    <row r="118" spans="1:17" s="244" customFormat="1" ht="221.25" customHeight="1">
      <c r="A118" s="221"/>
      <c r="B118" s="613"/>
      <c r="C118" s="657"/>
      <c r="D118" s="657"/>
      <c r="E118" s="663"/>
      <c r="F118" s="657"/>
      <c r="G118" s="657"/>
      <c r="H118" s="657"/>
      <c r="I118" s="657"/>
      <c r="J118" s="657"/>
      <c r="K118" s="658"/>
      <c r="L118" s="12" t="s">
        <v>257</v>
      </c>
      <c r="M118" s="340"/>
      <c r="N118" s="627"/>
      <c r="O118" s="252">
        <f>6+12.84+20.31+49.84+2.46+3.2+3.6+4.9+7.28+6.02+5.7</f>
        <v>122.15</v>
      </c>
      <c r="P118" s="662"/>
      <c r="Q118" s="343"/>
    </row>
    <row r="119" spans="1:17" s="244" customFormat="1" ht="112.5" customHeight="1">
      <c r="A119" s="222"/>
      <c r="B119" s="614"/>
      <c r="C119" s="638"/>
      <c r="D119" s="638"/>
      <c r="E119" s="664"/>
      <c r="F119" s="638"/>
      <c r="G119" s="638"/>
      <c r="H119" s="638"/>
      <c r="I119" s="638"/>
      <c r="J119" s="638"/>
      <c r="K119" s="640"/>
      <c r="L119" s="148" t="s">
        <v>311</v>
      </c>
      <c r="M119" s="273">
        <f>41803.2+1061.3+771.3</f>
        <v>43635.8</v>
      </c>
      <c r="N119" s="641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43">
        <f>M121+M122</f>
        <v>9880.9</v>
      </c>
      <c r="O121" s="353">
        <f>8011.2+72.5+49+100+649</f>
        <v>8881.7000000000007</v>
      </c>
      <c r="P121" s="649">
        <f>O121+O122</f>
        <v>13505.400000000001</v>
      </c>
      <c r="Q121" s="618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45"/>
      <c r="O122" s="273">
        <v>4623.7</v>
      </c>
      <c r="P122" s="650"/>
      <c r="Q122" s="620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43">
        <f>M123+M124+M125</f>
        <v>85771.5</v>
      </c>
      <c r="O123" s="353">
        <f>11180+36585.3</f>
        <v>47765.3</v>
      </c>
      <c r="P123" s="649">
        <f>O123+O124+O125</f>
        <v>106370.3</v>
      </c>
      <c r="Q123" s="618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44"/>
      <c r="O124" s="340">
        <f>8193.7+205.3+50.2+61.1+103.7+1625.1+171.5+66.4</f>
        <v>10477.000000000002</v>
      </c>
      <c r="P124" s="651"/>
      <c r="Q124" s="652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45"/>
      <c r="O125" s="273">
        <f>29396.3+18731.7</f>
        <v>48128</v>
      </c>
      <c r="P125" s="650"/>
      <c r="Q125" s="653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49">
        <f>O126+O127+O128+O129+O130</f>
        <v>6337.7</v>
      </c>
      <c r="Q126" s="618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51"/>
      <c r="Q127" s="652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51"/>
      <c r="Q128" s="652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51"/>
      <c r="Q129" s="652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50"/>
      <c r="Q130" s="653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54">
        <f>M131+M132+M133+M136</f>
        <v>16259.9</v>
      </c>
      <c r="O131" s="353">
        <f>12780.61+3958.34+234.22+467.32+648.72+951.4+279.52+343.37+22.61+460.92+186.03+40.82+1852.62+560.45</f>
        <v>22786.95</v>
      </c>
      <c r="P131" s="649">
        <f>O131+O132+O133+O134+O135+O136</f>
        <v>27218</v>
      </c>
      <c r="Q131" s="618">
        <f>J131-P131</f>
        <v>9.9999999998544808E-2</v>
      </c>
      <c r="R131" s="623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55"/>
      <c r="O132" s="340">
        <v>141.5</v>
      </c>
      <c r="P132" s="651"/>
      <c r="Q132" s="652"/>
      <c r="R132" s="624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55"/>
      <c r="O133" s="340">
        <f>545+50</f>
        <v>595</v>
      </c>
      <c r="P133" s="651"/>
      <c r="Q133" s="652"/>
      <c r="R133" s="624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55"/>
      <c r="O134" s="340">
        <v>1761.89</v>
      </c>
      <c r="P134" s="651"/>
      <c r="Q134" s="652"/>
      <c r="R134" s="624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55"/>
      <c r="O135" s="340">
        <f>700+14.76+300+150+150+330</f>
        <v>1644.76</v>
      </c>
      <c r="P135" s="651"/>
      <c r="Q135" s="652"/>
      <c r="R135" s="624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56"/>
      <c r="O136" s="273">
        <f>264.1+23.8</f>
        <v>287.90000000000003</v>
      </c>
      <c r="P136" s="650"/>
      <c r="Q136" s="653"/>
      <c r="R136" s="624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18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19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20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43">
        <f>M148+M149+M150+M151+M152+M153+M160</f>
        <v>27789.9</v>
      </c>
      <c r="O148" s="353">
        <f>48.83+276.74+58.04+65.92+50.83+116.02</f>
        <v>616.38</v>
      </c>
      <c r="P148" s="646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44"/>
      <c r="O149" s="340">
        <v>23.4</v>
      </c>
      <c r="P149" s="647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44"/>
      <c r="O150" s="340">
        <f>2000+1796.26+1253.8+0.48+2735.78+1042.85</f>
        <v>8829.17</v>
      </c>
      <c r="P150" s="647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44"/>
      <c r="O151" s="340">
        <f>606.2+195.36+439.69+842.82</f>
        <v>2084.0700000000002</v>
      </c>
      <c r="P151" s="647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44"/>
      <c r="O152" s="340">
        <f>4843.8+7957.8+2775.1+293.8+2100.7+1110.1</f>
        <v>19081.3</v>
      </c>
      <c r="P152" s="647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44"/>
      <c r="O153" s="340">
        <f>99+162.4+56.6+6+42.9+22.6</f>
        <v>389.5</v>
      </c>
      <c r="P153" s="647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44"/>
      <c r="O154" s="273">
        <f>7500+599+517.27+459.09+178.62</f>
        <v>9253.9800000000014</v>
      </c>
      <c r="P154" s="648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44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44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44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44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44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45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26">
        <f>M161+M162+M163+M164+M165+M166+M168+M167</f>
        <v>118895.3</v>
      </c>
      <c r="O161" s="353">
        <f>13433.31+4025.84+30.99+1+158.38+4.1+47.7+79.6+863.32+445.06+90.4+7.2+1.6</f>
        <v>19188.500000000004</v>
      </c>
      <c r="P161" s="628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27"/>
      <c r="O162" s="340">
        <v>122359</v>
      </c>
      <c r="P162" s="629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27"/>
      <c r="O163" s="340">
        <f>7210.49+47.44+181.17+2245.87+84.4+73.36+165.58+62.59+130.35+55.28+5.29+0.88</f>
        <v>10262.700000000001</v>
      </c>
      <c r="P163" s="629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27"/>
      <c r="O164" s="631">
        <f>720.5+771+15</f>
        <v>1506.5</v>
      </c>
      <c r="P164" s="629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31"/>
      <c r="P165" s="629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31"/>
      <c r="P166" s="629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29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30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32" t="s">
        <v>49</v>
      </c>
      <c r="B170" s="596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35">
        <v>3105.1</v>
      </c>
      <c r="H170" s="635">
        <v>648.6</v>
      </c>
      <c r="I170" s="637"/>
      <c r="J170" s="635">
        <f>I170+H170+G170</f>
        <v>3753.7</v>
      </c>
      <c r="K170" s="639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26">
        <f>M170+M171</f>
        <v>2234.1999999999998</v>
      </c>
      <c r="O170" s="353">
        <f>1646.51+367.26+184.4+205.2+610.8+0.4+10.17+2.16+1.5+5.4+71.3</f>
        <v>3105.1000000000004</v>
      </c>
      <c r="P170" s="618">
        <f>O170+O171</f>
        <v>3753.7000000000003</v>
      </c>
      <c r="Q170" s="642">
        <f>J170-P170</f>
        <v>0</v>
      </c>
    </row>
    <row r="171" spans="1:18" s="244" customFormat="1" ht="42" customHeight="1">
      <c r="A171" s="633"/>
      <c r="B171" s="634"/>
      <c r="C171" s="366"/>
      <c r="D171" s="366"/>
      <c r="E171" s="366"/>
      <c r="F171" s="366"/>
      <c r="G171" s="636"/>
      <c r="H171" s="636"/>
      <c r="I171" s="638"/>
      <c r="J171" s="636"/>
      <c r="K171" s="640"/>
      <c r="L171" s="378" t="s">
        <v>344</v>
      </c>
      <c r="M171" s="273">
        <v>471.9</v>
      </c>
      <c r="N171" s="641"/>
      <c r="O171" s="273">
        <v>648.6</v>
      </c>
      <c r="P171" s="620"/>
      <c r="Q171" s="642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18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19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19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20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21" t="s">
        <v>54</v>
      </c>
      <c r="B181" s="622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25" t="s">
        <v>110</v>
      </c>
      <c r="B197" s="625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A1:L1"/>
    <mergeCell ref="A2:L2"/>
    <mergeCell ref="A4:A5"/>
    <mergeCell ref="B4:B5"/>
    <mergeCell ref="C4:F4"/>
    <mergeCell ref="G4:J4"/>
    <mergeCell ref="K4:K5"/>
    <mergeCell ref="L4:L5"/>
    <mergeCell ref="N7:N16"/>
    <mergeCell ref="O7:O8"/>
    <mergeCell ref="P7:P10"/>
    <mergeCell ref="P12:P14"/>
    <mergeCell ref="N19:N48"/>
    <mergeCell ref="O22:O23"/>
    <mergeCell ref="P22:P23"/>
    <mergeCell ref="P32:P34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Q68:Q69"/>
    <mergeCell ref="N71:N78"/>
    <mergeCell ref="M72:M73"/>
    <mergeCell ref="O72:O73"/>
    <mergeCell ref="L74:L75"/>
    <mergeCell ref="M74:M75"/>
    <mergeCell ref="O74:O76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B117:B119"/>
    <mergeCell ref="C117:C119"/>
    <mergeCell ref="D117:D119"/>
    <mergeCell ref="E117:E119"/>
    <mergeCell ref="F117:F119"/>
    <mergeCell ref="N104:N105"/>
    <mergeCell ref="P104:P105"/>
    <mergeCell ref="Q104:Q105"/>
    <mergeCell ref="N106:N119"/>
    <mergeCell ref="P115:P118"/>
    <mergeCell ref="G117:G119"/>
    <mergeCell ref="H117:H119"/>
    <mergeCell ref="I117:I119"/>
    <mergeCell ref="J117:J119"/>
    <mergeCell ref="K117:K119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53"/>
  <sheetViews>
    <sheetView tabSelected="1" view="pageBreakPreview" zoomScale="60" zoomScaleNormal="60" workbookViewId="0">
      <pane ySplit="5" topLeftCell="A118" activePane="bottomLeft" state="frozen"/>
      <selection pane="bottomLeft" activeCell="L125" sqref="L125"/>
    </sheetView>
  </sheetViews>
  <sheetFormatPr defaultColWidth="9.140625" defaultRowHeight="19.5"/>
  <cols>
    <col min="1" max="1" width="7.5703125" style="391" customWidth="1"/>
    <col min="2" max="2" width="36.7109375" style="391" customWidth="1"/>
    <col min="3" max="3" width="17.5703125" style="394" customWidth="1"/>
    <col min="4" max="4" width="17" style="394" customWidth="1"/>
    <col min="5" max="5" width="16.7109375" style="394" customWidth="1"/>
    <col min="6" max="6" width="19.28515625" style="395" customWidth="1"/>
    <col min="7" max="7" width="16.85546875" style="394" customWidth="1"/>
    <col min="8" max="8" width="18.140625" style="394" customWidth="1"/>
    <col min="9" max="9" width="18.85546875" style="394" customWidth="1"/>
    <col min="10" max="10" width="21.5703125" style="395" customWidth="1"/>
    <col min="11" max="11" width="20.85546875" style="486" customWidth="1"/>
    <col min="12" max="12" width="142.7109375" style="391" customWidth="1"/>
    <col min="13" max="13" width="17.140625" style="388" hidden="1" customWidth="1"/>
    <col min="14" max="14" width="18.7109375" style="389" hidden="1" customWidth="1"/>
    <col min="15" max="15" width="27.28515625" style="388" customWidth="1"/>
    <col min="16" max="16" width="29.7109375" style="577" customWidth="1"/>
    <col min="17" max="17" width="30.28515625" style="581" customWidth="1"/>
    <col min="18" max="18" width="29.5703125" style="390" customWidth="1"/>
    <col min="19" max="19" width="35.85546875" style="390" customWidth="1"/>
    <col min="20" max="20" width="14" style="390" customWidth="1"/>
    <col min="21" max="21" width="13.140625" style="390" customWidth="1"/>
    <col min="22" max="22" width="14.85546875" style="390" customWidth="1"/>
    <col min="23" max="23" width="21.85546875" style="390" customWidth="1"/>
    <col min="24" max="24" width="9.140625" style="390"/>
    <col min="25" max="25" width="11" style="390" customWidth="1"/>
    <col min="26" max="26" width="10.7109375" style="390" customWidth="1"/>
    <col min="27" max="29" width="9.140625" style="391"/>
    <col min="30" max="30" width="10.7109375" style="391" customWidth="1"/>
    <col min="31" max="34" width="9.140625" style="391"/>
    <col min="35" max="35" width="10.85546875" style="391" customWidth="1"/>
    <col min="36" max="36" width="13.85546875" style="391" customWidth="1"/>
    <col min="37" max="37" width="11.42578125" style="391" customWidth="1"/>
    <col min="38" max="39" width="9.140625" style="391"/>
    <col min="40" max="40" width="12.42578125" style="391" customWidth="1"/>
    <col min="41" max="69" width="9.140625" style="391"/>
    <col min="70" max="70" width="21.85546875" style="391" customWidth="1"/>
    <col min="71" max="16384" width="9.140625" style="391"/>
  </cols>
  <sheetData>
    <row r="1" spans="1:26" ht="33.75" customHeight="1">
      <c r="A1" s="676" t="s">
        <v>92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</row>
    <row r="2" spans="1:26" ht="34.5" customHeight="1">
      <c r="A2" s="676" t="s">
        <v>359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R2" s="392"/>
    </row>
    <row r="3" spans="1:26" ht="20.25" customHeight="1">
      <c r="A3" s="393"/>
      <c r="B3" s="393"/>
      <c r="K3" s="478"/>
      <c r="L3" s="396" t="s">
        <v>16</v>
      </c>
      <c r="R3" s="392"/>
      <c r="S3" s="392"/>
      <c r="T3" s="392"/>
    </row>
    <row r="4" spans="1:26" s="403" customFormat="1" ht="30" customHeight="1">
      <c r="A4" s="684" t="s">
        <v>17</v>
      </c>
      <c r="B4" s="684" t="s">
        <v>18</v>
      </c>
      <c r="C4" s="686" t="s">
        <v>19</v>
      </c>
      <c r="D4" s="687"/>
      <c r="E4" s="687"/>
      <c r="F4" s="688"/>
      <c r="G4" s="686" t="s">
        <v>0</v>
      </c>
      <c r="H4" s="687"/>
      <c r="I4" s="687"/>
      <c r="J4" s="688"/>
      <c r="K4" s="689" t="s">
        <v>355</v>
      </c>
      <c r="L4" s="684" t="s">
        <v>20</v>
      </c>
      <c r="M4" s="397"/>
      <c r="N4" s="398"/>
      <c r="O4" s="397"/>
      <c r="P4" s="399"/>
      <c r="Q4" s="400"/>
      <c r="R4" s="401"/>
      <c r="S4" s="401"/>
      <c r="T4" s="402"/>
      <c r="U4" s="402"/>
      <c r="V4" s="402"/>
      <c r="W4" s="402"/>
      <c r="X4" s="402"/>
      <c r="Y4" s="402"/>
      <c r="Z4" s="402"/>
    </row>
    <row r="5" spans="1:26" s="403" customFormat="1" ht="28.5" customHeight="1">
      <c r="A5" s="685"/>
      <c r="B5" s="685"/>
      <c r="C5" s="404" t="s">
        <v>21</v>
      </c>
      <c r="D5" s="404" t="s">
        <v>22</v>
      </c>
      <c r="E5" s="404" t="s">
        <v>23</v>
      </c>
      <c r="F5" s="404" t="s">
        <v>24</v>
      </c>
      <c r="G5" s="404" t="s">
        <v>21</v>
      </c>
      <c r="H5" s="404" t="s">
        <v>22</v>
      </c>
      <c r="I5" s="404" t="s">
        <v>23</v>
      </c>
      <c r="J5" s="404" t="s">
        <v>24</v>
      </c>
      <c r="K5" s="690"/>
      <c r="L5" s="685"/>
      <c r="M5" s="397"/>
      <c r="N5" s="398"/>
      <c r="O5" s="397"/>
      <c r="P5" s="399"/>
      <c r="Q5" s="400"/>
      <c r="R5" s="402"/>
      <c r="S5" s="401"/>
      <c r="T5" s="402"/>
      <c r="U5" s="402"/>
      <c r="V5" s="402"/>
      <c r="W5" s="402"/>
      <c r="X5" s="402"/>
      <c r="Y5" s="402"/>
      <c r="Z5" s="402"/>
    </row>
    <row r="6" spans="1:26" s="411" customFormat="1" ht="18.75" customHeight="1">
      <c r="A6" s="405">
        <v>1</v>
      </c>
      <c r="B6" s="406">
        <v>2</v>
      </c>
      <c r="C6" s="407">
        <v>3</v>
      </c>
      <c r="D6" s="407">
        <v>4</v>
      </c>
      <c r="E6" s="407">
        <v>5</v>
      </c>
      <c r="F6" s="407">
        <v>6</v>
      </c>
      <c r="G6" s="407">
        <v>7</v>
      </c>
      <c r="H6" s="407">
        <v>8</v>
      </c>
      <c r="I6" s="407">
        <v>9</v>
      </c>
      <c r="J6" s="407">
        <v>10</v>
      </c>
      <c r="K6" s="479">
        <v>11</v>
      </c>
      <c r="L6" s="406">
        <v>12</v>
      </c>
      <c r="M6" s="408"/>
      <c r="N6" s="409"/>
      <c r="O6" s="408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</row>
    <row r="7" spans="1:26" ht="107.25" customHeight="1">
      <c r="A7" s="567" t="s">
        <v>25</v>
      </c>
      <c r="B7" s="492" t="s">
        <v>90</v>
      </c>
      <c r="C7" s="493">
        <v>15192.7</v>
      </c>
      <c r="D7" s="562">
        <v>8649.7999999999993</v>
      </c>
      <c r="E7" s="562">
        <v>265.89999999999998</v>
      </c>
      <c r="F7" s="562">
        <f>E7+D7+C7</f>
        <v>24108.400000000001</v>
      </c>
      <c r="G7" s="562">
        <v>2781</v>
      </c>
      <c r="H7" s="562">
        <v>368.8</v>
      </c>
      <c r="I7" s="562"/>
      <c r="J7" s="562">
        <f>G7+H7+I7</f>
        <v>3149.8</v>
      </c>
      <c r="K7" s="564">
        <f>J7/F7*100</f>
        <v>13.065155713361317</v>
      </c>
      <c r="L7" s="494" t="s">
        <v>362</v>
      </c>
      <c r="M7" s="450">
        <f>124+19.3+165.3+19.3+120.9+200+182.6+220+220+183.4+183.4+120.9+111.8+2.3</f>
        <v>1873.2000000000003</v>
      </c>
      <c r="N7" s="693" t="e">
        <f>M7+#REF!+#REF!+#REF!+M8+M9+M10+#REF!</f>
        <v>#REF!</v>
      </c>
      <c r="O7" s="450">
        <v>0.83</v>
      </c>
      <c r="P7" s="572">
        <f>O7+O8+O10+O11</f>
        <v>3149.7999999999997</v>
      </c>
      <c r="Q7" s="449">
        <f>J7-P7</f>
        <v>0</v>
      </c>
      <c r="R7" s="412"/>
    </row>
    <row r="8" spans="1:26" ht="200.25" customHeight="1">
      <c r="A8" s="499"/>
      <c r="B8" s="500"/>
      <c r="C8" s="501"/>
      <c r="D8" s="502"/>
      <c r="E8" s="502"/>
      <c r="F8" s="497"/>
      <c r="G8" s="502"/>
      <c r="H8" s="502"/>
      <c r="I8" s="502"/>
      <c r="J8" s="497"/>
      <c r="K8" s="586"/>
      <c r="L8" s="498" t="s">
        <v>363</v>
      </c>
      <c r="M8" s="460">
        <f>4942.6+106+128.5+1407.2+951.4+64.6+90.4+3.2+4.5+156.4+146.1+10.2+3.3</f>
        <v>8014.4</v>
      </c>
      <c r="N8" s="694"/>
      <c r="O8" s="460">
        <f>1749.3+360.52+351.5+5.9+8.1+21.6+44.1</f>
        <v>2541.0199999999995</v>
      </c>
      <c r="P8" s="695"/>
      <c r="R8" s="402"/>
    </row>
    <row r="9" spans="1:26" ht="46.5" hidden="1" customHeight="1">
      <c r="A9" s="499"/>
      <c r="B9" s="500"/>
      <c r="C9" s="501"/>
      <c r="D9" s="502"/>
      <c r="E9" s="502"/>
      <c r="F9" s="497"/>
      <c r="G9" s="502"/>
      <c r="H9" s="502"/>
      <c r="I9" s="502"/>
      <c r="J9" s="497"/>
      <c r="K9" s="586"/>
      <c r="L9" s="498"/>
      <c r="M9" s="460">
        <v>146.30000000000001</v>
      </c>
      <c r="N9" s="694"/>
      <c r="O9" s="460"/>
      <c r="P9" s="695"/>
    </row>
    <row r="10" spans="1:26" ht="72" customHeight="1">
      <c r="A10" s="499"/>
      <c r="B10" s="500"/>
      <c r="C10" s="501"/>
      <c r="D10" s="502"/>
      <c r="E10" s="502"/>
      <c r="F10" s="497"/>
      <c r="G10" s="502"/>
      <c r="H10" s="502"/>
      <c r="I10" s="502"/>
      <c r="J10" s="497"/>
      <c r="K10" s="586"/>
      <c r="L10" s="498" t="s">
        <v>361</v>
      </c>
      <c r="M10" s="460">
        <f>562.7+169.9+1453.2+23.2+3+102.8+28+5.5+0.2</f>
        <v>2348.5</v>
      </c>
      <c r="N10" s="694"/>
      <c r="O10" s="460">
        <f>242.1+3.8+85.5+35.4+2</f>
        <v>368.79999999999995</v>
      </c>
      <c r="P10" s="695"/>
      <c r="R10" s="402"/>
    </row>
    <row r="11" spans="1:26" ht="108" customHeight="1">
      <c r="A11" s="499"/>
      <c r="B11" s="500"/>
      <c r="C11" s="501"/>
      <c r="D11" s="502"/>
      <c r="E11" s="502"/>
      <c r="F11" s="497"/>
      <c r="G11" s="502"/>
      <c r="H11" s="502"/>
      <c r="I11" s="502"/>
      <c r="J11" s="497"/>
      <c r="K11" s="586"/>
      <c r="L11" s="498" t="s">
        <v>360</v>
      </c>
      <c r="M11" s="461"/>
      <c r="N11" s="585"/>
      <c r="O11" s="461">
        <v>239.15</v>
      </c>
      <c r="R11" s="402"/>
    </row>
    <row r="12" spans="1:26" ht="131.25" customHeight="1">
      <c r="A12" s="414" t="s">
        <v>26</v>
      </c>
      <c r="B12" s="415" t="s">
        <v>85</v>
      </c>
      <c r="C12" s="503">
        <v>112</v>
      </c>
      <c r="D12" s="503"/>
      <c r="E12" s="503"/>
      <c r="F12" s="503">
        <f>E12+D12+C12</f>
        <v>112</v>
      </c>
      <c r="G12" s="503">
        <v>0</v>
      </c>
      <c r="H12" s="503"/>
      <c r="I12" s="503"/>
      <c r="J12" s="503">
        <f>SUM(G12:I12)</f>
        <v>0</v>
      </c>
      <c r="K12" s="504">
        <f>J12/F12*100</f>
        <v>0</v>
      </c>
      <c r="L12" s="753" t="s">
        <v>364</v>
      </c>
      <c r="P12" s="577">
        <f>J12-O12</f>
        <v>0</v>
      </c>
    </row>
    <row r="13" spans="1:26" ht="95.25" customHeight="1">
      <c r="A13" s="414" t="s">
        <v>27</v>
      </c>
      <c r="B13" s="505" t="s">
        <v>84</v>
      </c>
      <c r="C13" s="503">
        <f t="shared" ref="C13:J13" si="0">C14+C44+C48</f>
        <v>445876.4</v>
      </c>
      <c r="D13" s="503">
        <f t="shared" si="0"/>
        <v>1100700.3</v>
      </c>
      <c r="E13" s="503">
        <f t="shared" si="0"/>
        <v>167910.3</v>
      </c>
      <c r="F13" s="503">
        <f t="shared" si="0"/>
        <v>1714487</v>
      </c>
      <c r="G13" s="503">
        <f t="shared" si="0"/>
        <v>92091.8</v>
      </c>
      <c r="H13" s="503">
        <f t="shared" si="0"/>
        <v>214571</v>
      </c>
      <c r="I13" s="503">
        <f t="shared" si="0"/>
        <v>31085.9</v>
      </c>
      <c r="J13" s="503">
        <f t="shared" si="0"/>
        <v>337748.7</v>
      </c>
      <c r="K13" s="504">
        <f>J13*100/F13</f>
        <v>19.699694427545964</v>
      </c>
      <c r="L13" s="417"/>
      <c r="O13" s="418"/>
      <c r="Q13" s="457"/>
      <c r="R13" s="458"/>
      <c r="S13" s="457"/>
    </row>
    <row r="14" spans="1:26" ht="165" customHeight="1">
      <c r="A14" s="506" t="s">
        <v>58</v>
      </c>
      <c r="B14" s="494" t="s">
        <v>33</v>
      </c>
      <c r="C14" s="507">
        <v>397066.4</v>
      </c>
      <c r="D14" s="507">
        <v>1100700.3</v>
      </c>
      <c r="E14" s="507">
        <v>167910.3</v>
      </c>
      <c r="F14" s="508">
        <f>E14+D14+C14</f>
        <v>1665677</v>
      </c>
      <c r="G14" s="507">
        <v>85998.6</v>
      </c>
      <c r="H14" s="507">
        <v>214571</v>
      </c>
      <c r="I14" s="507">
        <v>31085.9</v>
      </c>
      <c r="J14" s="508">
        <f>G14+H14+I14</f>
        <v>331655.5</v>
      </c>
      <c r="K14" s="564">
        <f>J14*100/F14</f>
        <v>19.911153242795571</v>
      </c>
      <c r="L14" s="754" t="s">
        <v>394</v>
      </c>
      <c r="M14" s="450">
        <f>26980.6+43.6+157.3+9698.1+1438.9+583.6+2486.6+67.4+1200.4</f>
        <v>42656.5</v>
      </c>
      <c r="N14" s="696">
        <f>SUM(M14:M43)</f>
        <v>742983.59999999986</v>
      </c>
      <c r="O14" s="474">
        <f>12920.27+9.77+78+3359.83+864.23+232.7+770.55+21.41+604.4</f>
        <v>18861.160000000003</v>
      </c>
      <c r="P14" s="477">
        <f>O14+O15+O16+O17+O18+O19+O20+O21+O22+O23+O25+O24+O26+O27+O28+O29+O31+O33+O34+O35+O36+O41+O42+O43+O30+O38+O39+O37</f>
        <v>331655.5</v>
      </c>
      <c r="Q14" s="456">
        <f>J14-P14</f>
        <v>0</v>
      </c>
      <c r="R14" s="457"/>
      <c r="S14" s="457"/>
    </row>
    <row r="15" spans="1:26" s="390" customFormat="1" ht="80.25" customHeight="1">
      <c r="A15" s="499"/>
      <c r="B15" s="509"/>
      <c r="C15" s="510"/>
      <c r="D15" s="510"/>
      <c r="E15" s="510"/>
      <c r="F15" s="511"/>
      <c r="G15" s="510"/>
      <c r="H15" s="510"/>
      <c r="I15" s="510"/>
      <c r="J15" s="511"/>
      <c r="K15" s="586"/>
      <c r="L15" s="472" t="s">
        <v>396</v>
      </c>
      <c r="M15" s="460"/>
      <c r="N15" s="697"/>
      <c r="O15" s="475">
        <v>174</v>
      </c>
      <c r="P15" s="578"/>
      <c r="Q15" s="581"/>
    </row>
    <row r="16" spans="1:26" s="390" customFormat="1" ht="84" customHeight="1">
      <c r="A16" s="512"/>
      <c r="B16" s="509"/>
      <c r="C16" s="510"/>
      <c r="D16" s="510"/>
      <c r="E16" s="510"/>
      <c r="F16" s="511"/>
      <c r="G16" s="510"/>
      <c r="H16" s="510"/>
      <c r="I16" s="510"/>
      <c r="J16" s="511"/>
      <c r="K16" s="586"/>
      <c r="L16" s="509" t="s">
        <v>395</v>
      </c>
      <c r="M16" s="460">
        <f>106+199.1+122.1+138.3+23.4+8.4+161.6+130+55+37.9+4+9.5+3.8+122.4+40+2510.2+86.5+68.7+35+154.2+13.6+597.8+1133.3+1410.6+5+5</f>
        <v>7181.4</v>
      </c>
      <c r="N16" s="697"/>
      <c r="O16" s="476">
        <f>99.9+12+5</f>
        <v>116.9</v>
      </c>
      <c r="P16" s="578"/>
      <c r="Q16" s="581"/>
    </row>
    <row r="17" spans="1:20" s="390" customFormat="1" ht="94.5" customHeight="1">
      <c r="A17" s="512"/>
      <c r="B17" s="509"/>
      <c r="C17" s="510"/>
      <c r="D17" s="510"/>
      <c r="E17" s="510"/>
      <c r="F17" s="511"/>
      <c r="G17" s="510"/>
      <c r="H17" s="510"/>
      <c r="I17" s="510"/>
      <c r="J17" s="511"/>
      <c r="K17" s="586"/>
      <c r="L17" s="509" t="s">
        <v>412</v>
      </c>
      <c r="M17" s="460">
        <f>97856.7+35.25+1347.53+947.24+28.09</f>
        <v>100214.81</v>
      </c>
      <c r="N17" s="697"/>
      <c r="O17" s="475">
        <f>35106.19+29.97+25.4+199.44</f>
        <v>35361.000000000007</v>
      </c>
      <c r="P17" s="578"/>
      <c r="Q17" s="581"/>
    </row>
    <row r="18" spans="1:20" s="390" customFormat="1" ht="85.5" hidden="1" customHeight="1">
      <c r="A18" s="512"/>
      <c r="B18" s="509"/>
      <c r="C18" s="510"/>
      <c r="D18" s="510"/>
      <c r="E18" s="510"/>
      <c r="F18" s="511"/>
      <c r="G18" s="510"/>
      <c r="H18" s="510"/>
      <c r="I18" s="510"/>
      <c r="J18" s="511"/>
      <c r="K18" s="586"/>
      <c r="L18" s="472"/>
      <c r="M18" s="460"/>
      <c r="N18" s="697"/>
      <c r="O18" s="475"/>
      <c r="P18" s="578"/>
      <c r="Q18" s="581"/>
    </row>
    <row r="19" spans="1:20" s="390" customFormat="1" ht="153.75" customHeight="1">
      <c r="A19" s="512"/>
      <c r="B19" s="509"/>
      <c r="C19" s="510"/>
      <c r="D19" s="510"/>
      <c r="E19" s="510"/>
      <c r="F19" s="511"/>
      <c r="G19" s="510"/>
      <c r="H19" s="510"/>
      <c r="I19" s="510"/>
      <c r="J19" s="511"/>
      <c r="K19" s="586"/>
      <c r="L19" s="509" t="s">
        <v>410</v>
      </c>
      <c r="M19" s="460">
        <f>37256.75+165.4+1576.31+37236.23+36.3+7690.44+4011.3+7496.32+302.86+10829.39</f>
        <v>106601.30000000002</v>
      </c>
      <c r="N19" s="697"/>
      <c r="O19" s="475">
        <f>22015.5+148.37+1650.48+17521.18+117.44+2766.16+2090.71+142.2+1866.63+28.86+6293.29</f>
        <v>54640.82</v>
      </c>
      <c r="P19" s="467"/>
      <c r="Q19" s="468"/>
    </row>
    <row r="20" spans="1:20" s="390" customFormat="1" ht="126" customHeight="1">
      <c r="A20" s="512"/>
      <c r="B20" s="509"/>
      <c r="C20" s="510"/>
      <c r="D20" s="510"/>
      <c r="E20" s="510"/>
      <c r="F20" s="511"/>
      <c r="G20" s="510"/>
      <c r="H20" s="510"/>
      <c r="I20" s="510"/>
      <c r="J20" s="511"/>
      <c r="K20" s="586"/>
      <c r="L20" s="472" t="s">
        <v>397</v>
      </c>
      <c r="M20" s="460"/>
      <c r="N20" s="697"/>
      <c r="O20" s="475">
        <f>177+177+165+174</f>
        <v>693</v>
      </c>
      <c r="P20" s="467"/>
      <c r="Q20" s="468"/>
    </row>
    <row r="21" spans="1:20" s="390" customFormat="1" ht="84" customHeight="1">
      <c r="A21" s="512"/>
      <c r="B21" s="509"/>
      <c r="C21" s="510"/>
      <c r="D21" s="510"/>
      <c r="E21" s="510"/>
      <c r="F21" s="511"/>
      <c r="G21" s="510"/>
      <c r="H21" s="510"/>
      <c r="I21" s="510"/>
      <c r="J21" s="511"/>
      <c r="K21" s="513"/>
      <c r="L21" s="514" t="s">
        <v>407</v>
      </c>
      <c r="M21" s="460">
        <f>538.42+136+23.1+70+599.99+58+282.39+4+4+18+13+13+70+140+70+50+70+70+1202.4+70+70+70+199.87+383.88+1+4+8.5+15+24.5+25+38.5+45+55.8+29.7+575.13+585.97+570.62+200+549.28+157.35+19.04+44.12</f>
        <v>7174.56</v>
      </c>
      <c r="N21" s="697"/>
      <c r="O21" s="475">
        <f>7.2+87.74+206.73</f>
        <v>301.66999999999996</v>
      </c>
      <c r="P21" s="454">
        <f>O21+O22+O23+O24+O25</f>
        <v>490.16999999999996</v>
      </c>
      <c r="Q21" s="469" t="e">
        <f>O21+#REF!+#REF!+#REF!+#REF!+#REF!+#REF!+#REF!</f>
        <v>#REF!</v>
      </c>
      <c r="R21" s="429"/>
      <c r="T21" s="412"/>
    </row>
    <row r="22" spans="1:20" s="390" customFormat="1" ht="45.75" customHeight="1">
      <c r="A22" s="512"/>
      <c r="B22" s="509"/>
      <c r="C22" s="510"/>
      <c r="D22" s="510"/>
      <c r="E22" s="510"/>
      <c r="F22" s="511"/>
      <c r="G22" s="510"/>
      <c r="H22" s="510"/>
      <c r="I22" s="510"/>
      <c r="J22" s="511"/>
      <c r="K22" s="513"/>
      <c r="L22" s="514" t="s">
        <v>409</v>
      </c>
      <c r="M22" s="460"/>
      <c r="N22" s="697"/>
      <c r="O22" s="475">
        <f>120+3.96</f>
        <v>123.96</v>
      </c>
      <c r="P22" s="454"/>
      <c r="Q22" s="469"/>
      <c r="R22" s="429"/>
      <c r="T22" s="412"/>
    </row>
    <row r="23" spans="1:20" s="390" customFormat="1" ht="36" customHeight="1">
      <c r="A23" s="512"/>
      <c r="B23" s="509"/>
      <c r="C23" s="510"/>
      <c r="D23" s="510"/>
      <c r="E23" s="510"/>
      <c r="F23" s="511"/>
      <c r="G23" s="510"/>
      <c r="H23" s="510"/>
      <c r="I23" s="510"/>
      <c r="J23" s="511"/>
      <c r="K23" s="513"/>
      <c r="L23" s="514" t="s">
        <v>408</v>
      </c>
      <c r="M23" s="460"/>
      <c r="N23" s="697"/>
      <c r="O23" s="475">
        <v>64.540000000000006</v>
      </c>
      <c r="P23" s="454"/>
      <c r="Q23" s="469"/>
      <c r="R23" s="429"/>
      <c r="T23" s="412"/>
    </row>
    <row r="24" spans="1:20" s="390" customFormat="1" ht="60" hidden="1" customHeight="1">
      <c r="A24" s="512"/>
      <c r="B24" s="509"/>
      <c r="C24" s="510"/>
      <c r="D24" s="510"/>
      <c r="E24" s="510"/>
      <c r="F24" s="511"/>
      <c r="G24" s="510"/>
      <c r="H24" s="510"/>
      <c r="I24" s="510"/>
      <c r="J24" s="511"/>
      <c r="K24" s="513"/>
      <c r="L24" s="514"/>
      <c r="M24" s="460"/>
      <c r="N24" s="697"/>
      <c r="O24" s="475"/>
      <c r="P24" s="454"/>
      <c r="Q24" s="469"/>
      <c r="R24" s="429"/>
      <c r="T24" s="412"/>
    </row>
    <row r="25" spans="1:20" s="390" customFormat="1" ht="69.75" hidden="1" customHeight="1">
      <c r="A25" s="512"/>
      <c r="B25" s="509"/>
      <c r="C25" s="510"/>
      <c r="D25" s="510"/>
      <c r="E25" s="510"/>
      <c r="F25" s="511"/>
      <c r="G25" s="510"/>
      <c r="H25" s="510"/>
      <c r="I25" s="510"/>
      <c r="J25" s="511"/>
      <c r="K25" s="513"/>
      <c r="L25" s="514"/>
      <c r="M25" s="460"/>
      <c r="N25" s="697"/>
      <c r="O25" s="475"/>
      <c r="P25" s="454"/>
      <c r="Q25" s="469"/>
      <c r="R25" s="429"/>
      <c r="T25" s="412"/>
    </row>
    <row r="26" spans="1:20" s="390" customFormat="1" ht="108.75" customHeight="1">
      <c r="A26" s="512"/>
      <c r="B26" s="509"/>
      <c r="C26" s="510"/>
      <c r="D26" s="510"/>
      <c r="E26" s="510"/>
      <c r="F26" s="511"/>
      <c r="G26" s="510"/>
      <c r="H26" s="510"/>
      <c r="I26" s="510"/>
      <c r="J26" s="511"/>
      <c r="K26" s="513"/>
      <c r="L26" s="514" t="s">
        <v>398</v>
      </c>
      <c r="M26" s="460">
        <f>410725.05+98.83+2757.79+5476.13+2317.14</f>
        <v>421374.94</v>
      </c>
      <c r="N26" s="697"/>
      <c r="O26" s="475">
        <f>177666.05+100+80.97+769.69+469.04</f>
        <v>179085.75</v>
      </c>
      <c r="P26" s="578"/>
      <c r="Q26" s="581"/>
    </row>
    <row r="27" spans="1:20" s="390" customFormat="1" ht="57" hidden="1" customHeight="1">
      <c r="A27" s="512"/>
      <c r="B27" s="509"/>
      <c r="C27" s="510"/>
      <c r="D27" s="510"/>
      <c r="E27" s="510"/>
      <c r="F27" s="511"/>
      <c r="G27" s="510"/>
      <c r="H27" s="510"/>
      <c r="I27" s="510"/>
      <c r="J27" s="511"/>
      <c r="K27" s="513"/>
      <c r="L27" s="755"/>
      <c r="M27" s="460"/>
      <c r="N27" s="697"/>
      <c r="O27" s="475"/>
      <c r="P27" s="578"/>
      <c r="Q27" s="581"/>
    </row>
    <row r="28" spans="1:20" s="390" customFormat="1" ht="87" hidden="1" customHeight="1">
      <c r="A28" s="512"/>
      <c r="B28" s="509"/>
      <c r="C28" s="510"/>
      <c r="D28" s="510"/>
      <c r="E28" s="510"/>
      <c r="F28" s="511"/>
      <c r="G28" s="510"/>
      <c r="H28" s="510"/>
      <c r="I28" s="510"/>
      <c r="J28" s="511"/>
      <c r="K28" s="513"/>
      <c r="L28" s="755"/>
      <c r="M28" s="460"/>
      <c r="N28" s="697"/>
      <c r="O28" s="475"/>
      <c r="P28" s="578"/>
      <c r="Q28" s="581"/>
    </row>
    <row r="29" spans="1:20" s="390" customFormat="1" ht="56.25" customHeight="1">
      <c r="A29" s="512"/>
      <c r="B29" s="509"/>
      <c r="C29" s="510"/>
      <c r="D29" s="510"/>
      <c r="E29" s="510"/>
      <c r="F29" s="511"/>
      <c r="G29" s="510"/>
      <c r="H29" s="510"/>
      <c r="I29" s="510"/>
      <c r="J29" s="511"/>
      <c r="K29" s="513"/>
      <c r="L29" s="756" t="s">
        <v>406</v>
      </c>
      <c r="M29" s="460">
        <f>1164.9+3143.7</f>
        <v>4308.6000000000004</v>
      </c>
      <c r="N29" s="697"/>
      <c r="O29" s="475">
        <v>254.96</v>
      </c>
      <c r="P29" s="578"/>
      <c r="Q29" s="581"/>
    </row>
    <row r="30" spans="1:20" s="390" customFormat="1" ht="69.75" hidden="1" customHeight="1">
      <c r="A30" s="512"/>
      <c r="B30" s="509"/>
      <c r="C30" s="510"/>
      <c r="D30" s="510"/>
      <c r="E30" s="510"/>
      <c r="F30" s="511"/>
      <c r="G30" s="510"/>
      <c r="H30" s="510"/>
      <c r="I30" s="510"/>
      <c r="J30" s="511"/>
      <c r="K30" s="513"/>
      <c r="L30" s="756"/>
      <c r="M30" s="460"/>
      <c r="N30" s="697"/>
      <c r="O30" s="475"/>
      <c r="P30" s="578"/>
      <c r="Q30" s="581"/>
    </row>
    <row r="31" spans="1:20" s="390" customFormat="1" ht="57" customHeight="1">
      <c r="A31" s="512"/>
      <c r="B31" s="509"/>
      <c r="C31" s="510"/>
      <c r="D31" s="510"/>
      <c r="E31" s="510"/>
      <c r="F31" s="511"/>
      <c r="G31" s="510"/>
      <c r="H31" s="510"/>
      <c r="I31" s="510"/>
      <c r="J31" s="511"/>
      <c r="K31" s="513"/>
      <c r="L31" s="757" t="s">
        <v>405</v>
      </c>
      <c r="M31" s="460">
        <f>207.75+2056.75+18510.7</f>
        <v>20775.2</v>
      </c>
      <c r="N31" s="697"/>
      <c r="O31" s="475">
        <f>118.97+117.78+11660.25</f>
        <v>11897</v>
      </c>
      <c r="P31" s="578"/>
      <c r="Q31" s="581"/>
    </row>
    <row r="32" spans="1:20" s="390" customFormat="1" ht="66.75" hidden="1" customHeight="1">
      <c r="A32" s="512"/>
      <c r="B32" s="509"/>
      <c r="C32" s="510"/>
      <c r="D32" s="510"/>
      <c r="E32" s="510"/>
      <c r="F32" s="511"/>
      <c r="G32" s="510"/>
      <c r="H32" s="510"/>
      <c r="I32" s="510"/>
      <c r="J32" s="511"/>
      <c r="K32" s="513"/>
      <c r="L32" s="470"/>
      <c r="M32" s="460"/>
      <c r="N32" s="697"/>
      <c r="O32" s="475"/>
      <c r="P32" s="578"/>
      <c r="Q32" s="581"/>
    </row>
    <row r="33" spans="1:18" s="390" customFormat="1" ht="82.5" customHeight="1">
      <c r="A33" s="515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14" t="s">
        <v>402</v>
      </c>
      <c r="M33" s="420">
        <f>7699.24+41.88+3+324.29+235.47+3.9+105.98+122.09</f>
        <v>8535.8499999999985</v>
      </c>
      <c r="N33" s="697"/>
      <c r="O33" s="475">
        <f>2025.76+20.56+5.29+252.68+48.77</f>
        <v>2353.06</v>
      </c>
      <c r="P33" s="578"/>
      <c r="Q33" s="581"/>
    </row>
    <row r="34" spans="1:18" s="390" customFormat="1" ht="100.5" customHeight="1">
      <c r="A34" s="515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14" t="s">
        <v>411</v>
      </c>
      <c r="M34" s="420">
        <f>20902.69+77.99+6.7+408.7+893.73+1030.36+7.39+187.57+368.06</f>
        <v>23883.190000000002</v>
      </c>
      <c r="N34" s="697"/>
      <c r="O34" s="475">
        <f>6760.94+34.5+81.93+267.1+198.28+287.15</f>
        <v>7629.9</v>
      </c>
      <c r="P34" s="578"/>
      <c r="Q34" s="581"/>
    </row>
    <row r="35" spans="1:18" s="390" customFormat="1" ht="73.5" customHeight="1">
      <c r="A35" s="515"/>
      <c r="B35" s="509"/>
      <c r="C35" s="510"/>
      <c r="D35" s="510"/>
      <c r="E35" s="510"/>
      <c r="F35" s="511"/>
      <c r="G35" s="510"/>
      <c r="H35" s="510"/>
      <c r="I35" s="510"/>
      <c r="J35" s="511"/>
      <c r="K35" s="513"/>
      <c r="L35" s="514" t="s">
        <v>399</v>
      </c>
      <c r="M35" s="460">
        <f>29.75+247.5</f>
        <v>277.25</v>
      </c>
      <c r="N35" s="697"/>
      <c r="O35" s="475">
        <f>238.63+3.49</f>
        <v>242.12</v>
      </c>
      <c r="P35" s="578"/>
      <c r="Q35" s="581"/>
    </row>
    <row r="36" spans="1:18" s="390" customFormat="1" ht="86.25" customHeight="1">
      <c r="A36" s="515"/>
      <c r="B36" s="509"/>
      <c r="C36" s="510"/>
      <c r="D36" s="510"/>
      <c r="E36" s="510"/>
      <c r="F36" s="511"/>
      <c r="G36" s="510"/>
      <c r="H36" s="510"/>
      <c r="I36" s="510"/>
      <c r="J36" s="511"/>
      <c r="K36" s="516"/>
      <c r="L36" s="755" t="s">
        <v>400</v>
      </c>
      <c r="M36" s="461"/>
      <c r="N36" s="568"/>
      <c r="O36" s="475">
        <f>394.34+4.2+7.8+10.52</f>
        <v>416.85999999999996</v>
      </c>
      <c r="P36" s="578"/>
      <c r="Q36" s="581"/>
    </row>
    <row r="37" spans="1:18" s="390" customFormat="1" ht="60.75" customHeight="1">
      <c r="A37" s="515"/>
      <c r="B37" s="509"/>
      <c r="C37" s="510"/>
      <c r="D37" s="510"/>
      <c r="E37" s="510"/>
      <c r="F37" s="511"/>
      <c r="G37" s="510"/>
      <c r="H37" s="510"/>
      <c r="I37" s="510"/>
      <c r="J37" s="511"/>
      <c r="K37" s="516"/>
      <c r="L37" s="755" t="s">
        <v>401</v>
      </c>
      <c r="M37" s="461"/>
      <c r="N37" s="568"/>
      <c r="O37" s="475">
        <v>6.68</v>
      </c>
      <c r="P37" s="578"/>
      <c r="Q37" s="581"/>
    </row>
    <row r="38" spans="1:18" s="390" customFormat="1" ht="134.25" hidden="1" customHeight="1">
      <c r="A38" s="515"/>
      <c r="B38" s="509"/>
      <c r="C38" s="510"/>
      <c r="D38" s="510"/>
      <c r="E38" s="510"/>
      <c r="F38" s="511"/>
      <c r="G38" s="510"/>
      <c r="H38" s="510"/>
      <c r="I38" s="510"/>
      <c r="J38" s="511"/>
      <c r="K38" s="516"/>
      <c r="L38" s="517"/>
      <c r="M38" s="461"/>
      <c r="N38" s="568"/>
      <c r="O38" s="475"/>
      <c r="P38" s="578"/>
      <c r="Q38" s="581"/>
    </row>
    <row r="39" spans="1:18" s="390" customFormat="1" ht="102" hidden="1" customHeight="1">
      <c r="A39" s="515"/>
      <c r="B39" s="509"/>
      <c r="C39" s="510"/>
      <c r="D39" s="510"/>
      <c r="E39" s="510"/>
      <c r="F39" s="511"/>
      <c r="G39" s="510"/>
      <c r="H39" s="510"/>
      <c r="I39" s="510"/>
      <c r="J39" s="511"/>
      <c r="K39" s="516"/>
      <c r="L39" s="517"/>
      <c r="M39" s="461"/>
      <c r="N39" s="568"/>
      <c r="O39" s="475"/>
      <c r="P39" s="578"/>
      <c r="Q39" s="581"/>
    </row>
    <row r="40" spans="1:18" s="390" customFormat="1" ht="31.5" hidden="1" customHeight="1">
      <c r="A40" s="515"/>
      <c r="B40" s="509"/>
      <c r="C40" s="510"/>
      <c r="D40" s="510"/>
      <c r="E40" s="510"/>
      <c r="F40" s="511"/>
      <c r="G40" s="510"/>
      <c r="H40" s="510"/>
      <c r="I40" s="510"/>
      <c r="J40" s="511"/>
      <c r="K40" s="516"/>
      <c r="L40" s="517"/>
      <c r="M40" s="461"/>
      <c r="N40" s="568"/>
      <c r="O40" s="455"/>
      <c r="P40" s="578"/>
      <c r="Q40" s="581"/>
    </row>
    <row r="41" spans="1:18" s="390" customFormat="1" ht="131.25" customHeight="1">
      <c r="A41" s="515"/>
      <c r="B41" s="509"/>
      <c r="C41" s="510"/>
      <c r="D41" s="510"/>
      <c r="E41" s="510"/>
      <c r="F41" s="511"/>
      <c r="G41" s="510"/>
      <c r="H41" s="510"/>
      <c r="I41" s="510"/>
      <c r="J41" s="511"/>
      <c r="K41" s="516"/>
      <c r="L41" s="755" t="s">
        <v>403</v>
      </c>
      <c r="M41" s="461"/>
      <c r="N41" s="568"/>
      <c r="O41" s="475">
        <v>253.28</v>
      </c>
      <c r="P41" s="578"/>
      <c r="Q41" s="581"/>
    </row>
    <row r="42" spans="1:18" s="390" customFormat="1" ht="95.25" customHeight="1">
      <c r="A42" s="515"/>
      <c r="B42" s="509"/>
      <c r="C42" s="510"/>
      <c r="D42" s="510"/>
      <c r="E42" s="510"/>
      <c r="F42" s="511"/>
      <c r="G42" s="510"/>
      <c r="H42" s="510"/>
      <c r="I42" s="510"/>
      <c r="J42" s="511"/>
      <c r="K42" s="516"/>
      <c r="L42" s="755" t="s">
        <v>404</v>
      </c>
      <c r="M42" s="461"/>
      <c r="N42" s="568"/>
      <c r="O42" s="475">
        <f>6.47+640.57</f>
        <v>647.04000000000008</v>
      </c>
      <c r="P42" s="578"/>
      <c r="Q42" s="581"/>
    </row>
    <row r="43" spans="1:18" s="390" customFormat="1" ht="79.5" customHeight="1">
      <c r="A43" s="515"/>
      <c r="B43" s="509"/>
      <c r="C43" s="510"/>
      <c r="D43" s="510"/>
      <c r="E43" s="510"/>
      <c r="F43" s="511"/>
      <c r="G43" s="510"/>
      <c r="H43" s="510"/>
      <c r="I43" s="510"/>
      <c r="J43" s="511"/>
      <c r="K43" s="516"/>
      <c r="L43" s="758" t="s">
        <v>413</v>
      </c>
      <c r="M43" s="461"/>
      <c r="N43" s="568"/>
      <c r="O43" s="475">
        <v>18531.8</v>
      </c>
      <c r="P43" s="578"/>
      <c r="Q43" s="581"/>
    </row>
    <row r="44" spans="1:18" s="390" customFormat="1" ht="125.25" customHeight="1">
      <c r="A44" s="506" t="s">
        <v>59</v>
      </c>
      <c r="B44" s="494" t="s">
        <v>1</v>
      </c>
      <c r="C44" s="518">
        <v>48301.8</v>
      </c>
      <c r="D44" s="518"/>
      <c r="E44" s="518"/>
      <c r="F44" s="562">
        <f>E44+D44+C44</f>
        <v>48301.8</v>
      </c>
      <c r="G44" s="518">
        <v>5834.7</v>
      </c>
      <c r="H44" s="518"/>
      <c r="I44" s="518"/>
      <c r="J44" s="493">
        <f>I44+H44+G44</f>
        <v>5834.7</v>
      </c>
      <c r="K44" s="564">
        <f>J44*100/F44</f>
        <v>12.079674049414306</v>
      </c>
      <c r="L44" s="494" t="s">
        <v>393</v>
      </c>
      <c r="M44" s="450">
        <f>10247+34.2+199.5+108+68.6+7.2+69.2</f>
        <v>10733.700000000003</v>
      </c>
      <c r="N44" s="693" t="e">
        <f>M44+#REF!+#REF!+M46+M47+#REF!</f>
        <v>#REF!</v>
      </c>
      <c r="O44" s="423">
        <f>4985+13.19+96.84+19.79+61.64+6.54</f>
        <v>5183</v>
      </c>
      <c r="P44" s="699">
        <f>O44+O46+O47+O45</f>
        <v>5834.7</v>
      </c>
      <c r="Q44" s="466">
        <f>J44-P44</f>
        <v>0</v>
      </c>
      <c r="R44" s="419"/>
    </row>
    <row r="45" spans="1:18" s="390" customFormat="1" ht="93" hidden="1" customHeight="1">
      <c r="A45" s="499"/>
      <c r="B45" s="509"/>
      <c r="C45" s="502"/>
      <c r="D45" s="502"/>
      <c r="E45" s="502"/>
      <c r="F45" s="497"/>
      <c r="G45" s="502"/>
      <c r="H45" s="502"/>
      <c r="I45" s="502"/>
      <c r="J45" s="496"/>
      <c r="K45" s="586"/>
      <c r="L45" s="519"/>
      <c r="M45" s="460"/>
      <c r="N45" s="694"/>
      <c r="O45" s="420"/>
      <c r="P45" s="700"/>
      <c r="Q45" s="466"/>
      <c r="R45" s="419"/>
    </row>
    <row r="46" spans="1:18" s="390" customFormat="1" ht="72" customHeight="1">
      <c r="A46" s="515"/>
      <c r="B46" s="509"/>
      <c r="C46" s="502"/>
      <c r="D46" s="502"/>
      <c r="E46" s="502"/>
      <c r="F46" s="497"/>
      <c r="G46" s="502"/>
      <c r="H46" s="502"/>
      <c r="I46" s="502"/>
      <c r="J46" s="496"/>
      <c r="K46" s="586"/>
      <c r="L46" s="759" t="s">
        <v>392</v>
      </c>
      <c r="M46" s="460">
        <f>47+45+154.4</f>
        <v>246.4</v>
      </c>
      <c r="N46" s="694"/>
      <c r="O46" s="460">
        <v>23.5</v>
      </c>
      <c r="P46" s="700"/>
      <c r="Q46" s="577"/>
    </row>
    <row r="47" spans="1:18" s="390" customFormat="1" ht="96.75" customHeight="1">
      <c r="A47" s="515"/>
      <c r="B47" s="509"/>
      <c r="C47" s="502"/>
      <c r="D47" s="502"/>
      <c r="E47" s="502"/>
      <c r="F47" s="497"/>
      <c r="G47" s="502"/>
      <c r="H47" s="502"/>
      <c r="I47" s="502"/>
      <c r="J47" s="496"/>
      <c r="K47" s="586"/>
      <c r="L47" s="759" t="s">
        <v>391</v>
      </c>
      <c r="M47" s="413">
        <v>4175.8999999999996</v>
      </c>
      <c r="N47" s="698"/>
      <c r="O47" s="460">
        <v>628.20000000000005</v>
      </c>
      <c r="P47" s="700"/>
      <c r="Q47" s="581"/>
    </row>
    <row r="48" spans="1:18" s="390" customFormat="1" ht="94.5" customHeight="1">
      <c r="A48" s="424" t="s">
        <v>60</v>
      </c>
      <c r="B48" s="473" t="s">
        <v>36</v>
      </c>
      <c r="C48" s="480">
        <v>508.2</v>
      </c>
      <c r="D48" s="520"/>
      <c r="E48" s="480"/>
      <c r="F48" s="503">
        <f>E48+D48+C48</f>
        <v>508.2</v>
      </c>
      <c r="G48" s="480">
        <v>258.5</v>
      </c>
      <c r="H48" s="480"/>
      <c r="I48" s="480"/>
      <c r="J48" s="503">
        <f>I48+H48+G48</f>
        <v>258.5</v>
      </c>
      <c r="K48" s="504">
        <f>J48*100/F48</f>
        <v>50.865800865800864</v>
      </c>
      <c r="L48" s="760" t="s">
        <v>390</v>
      </c>
      <c r="M48" s="425">
        <f>1.1+1+15.3+25.9+33.1+20+7.5+8+21.3+39.4+0.5+8.9</f>
        <v>182.00000000000003</v>
      </c>
      <c r="N48" s="389"/>
      <c r="O48" s="388">
        <v>258.5</v>
      </c>
      <c r="P48" s="577"/>
      <c r="Q48" s="581"/>
    </row>
    <row r="49" spans="1:17" s="390" customFormat="1" ht="191.25" customHeight="1">
      <c r="A49" s="567" t="s">
        <v>28</v>
      </c>
      <c r="B49" s="566" t="s">
        <v>83</v>
      </c>
      <c r="C49" s="562">
        <v>8819.2000000000007</v>
      </c>
      <c r="D49" s="562"/>
      <c r="E49" s="518"/>
      <c r="F49" s="493">
        <f>E49+D49+C49</f>
        <v>8819.2000000000007</v>
      </c>
      <c r="G49" s="503">
        <v>1898.1</v>
      </c>
      <c r="H49" s="503"/>
      <c r="I49" s="503"/>
      <c r="J49" s="503">
        <f>I49+H49+G49</f>
        <v>1898.1</v>
      </c>
      <c r="K49" s="504">
        <f>J49*100/F49</f>
        <v>21.522360304789547</v>
      </c>
      <c r="L49" s="473" t="s">
        <v>365</v>
      </c>
      <c r="M49" s="426">
        <f>3822.7+32.8+14+40.9</f>
        <v>3910.4</v>
      </c>
      <c r="N49" s="427"/>
      <c r="O49" s="450">
        <v>1898.1</v>
      </c>
      <c r="P49" s="576"/>
      <c r="Q49" s="572">
        <f>J49-O49</f>
        <v>0</v>
      </c>
    </row>
    <row r="50" spans="1:17" s="390" customFormat="1" ht="78">
      <c r="A50" s="567" t="s">
        <v>29</v>
      </c>
      <c r="B50" s="560" t="s">
        <v>82</v>
      </c>
      <c r="C50" s="562">
        <f t="shared" ref="C50:J50" si="1">C51+C56+C70+C74+C76</f>
        <v>171643.7</v>
      </c>
      <c r="D50" s="562">
        <f t="shared" si="1"/>
        <v>627.6</v>
      </c>
      <c r="E50" s="562">
        <f t="shared" si="1"/>
        <v>257.5</v>
      </c>
      <c r="F50" s="562">
        <f t="shared" si="1"/>
        <v>172528.8</v>
      </c>
      <c r="G50" s="497">
        <f t="shared" si="1"/>
        <v>31305</v>
      </c>
      <c r="H50" s="497">
        <f t="shared" si="1"/>
        <v>1</v>
      </c>
      <c r="I50" s="497">
        <f t="shared" si="1"/>
        <v>100</v>
      </c>
      <c r="J50" s="497">
        <f t="shared" si="1"/>
        <v>31406</v>
      </c>
      <c r="K50" s="586">
        <f>J50*100/F50</f>
        <v>18.203337645656841</v>
      </c>
      <c r="L50" s="521"/>
      <c r="M50" s="388"/>
      <c r="N50" s="389"/>
      <c r="O50" s="388"/>
      <c r="P50" s="577"/>
      <c r="Q50" s="581"/>
    </row>
    <row r="51" spans="1:17" s="390" customFormat="1" ht="217.5" customHeight="1">
      <c r="A51" s="704" t="s">
        <v>61</v>
      </c>
      <c r="B51" s="706" t="s">
        <v>3</v>
      </c>
      <c r="C51" s="507">
        <v>38564.5</v>
      </c>
      <c r="D51" s="507"/>
      <c r="E51" s="507"/>
      <c r="F51" s="508">
        <f>E51+D51+C51</f>
        <v>38564.5</v>
      </c>
      <c r="G51" s="708">
        <v>7577</v>
      </c>
      <c r="H51" s="708"/>
      <c r="I51" s="708"/>
      <c r="J51" s="691">
        <f>I51+H51+G51</f>
        <v>7577</v>
      </c>
      <c r="K51" s="701">
        <f>J51*100/F51</f>
        <v>19.647603365789781</v>
      </c>
      <c r="L51" s="761" t="s">
        <v>414</v>
      </c>
      <c r="M51" s="450">
        <f>10320.32+2957.91+31.2+3.5+63.39+1642.51+215.53+267.9+11.3+196.35+19.45+199+0.4+12.96+0.25+137.03</f>
        <v>16079</v>
      </c>
      <c r="N51" s="703" t="e">
        <f>M51+M52+#REF!+#REF!+#REF!</f>
        <v>#REF!</v>
      </c>
      <c r="O51" s="450">
        <f>4544.9+993.49+11.72+1059.09+52.75+106.23+49.52+9.03+16.64+0.65+404.18</f>
        <v>7248.2</v>
      </c>
      <c r="P51" s="580">
        <f>O51+O52+O55+O53+O54</f>
        <v>7577</v>
      </c>
      <c r="Q51" s="449">
        <f>J51-P51</f>
        <v>0</v>
      </c>
    </row>
    <row r="52" spans="1:17" s="390" customFormat="1" ht="104.25" customHeight="1">
      <c r="A52" s="705"/>
      <c r="B52" s="707"/>
      <c r="C52" s="510"/>
      <c r="D52" s="510"/>
      <c r="E52" s="510"/>
      <c r="F52" s="511"/>
      <c r="G52" s="709"/>
      <c r="H52" s="709"/>
      <c r="I52" s="709"/>
      <c r="J52" s="692"/>
      <c r="K52" s="702"/>
      <c r="L52" s="762" t="s">
        <v>434</v>
      </c>
      <c r="M52" s="459">
        <f>1.5+27.08+10+35.78+384.4+34.9+8.1+9.84+4.31+150+4+7+3+6.65+6.96+37.52+4.42+9.9+17.92+3+10.45+25+10.39</f>
        <v>812.11999999999989</v>
      </c>
      <c r="N52" s="697"/>
      <c r="O52" s="413">
        <f>1.6+83.56+21.13+8.88+213.63</f>
        <v>328.79999999999995</v>
      </c>
      <c r="P52" s="573"/>
      <c r="Q52" s="575"/>
    </row>
    <row r="53" spans="1:17" s="390" customFormat="1" ht="175.5" hidden="1" customHeight="1">
      <c r="A53" s="499"/>
      <c r="B53" s="524"/>
      <c r="C53" s="510"/>
      <c r="D53" s="510"/>
      <c r="E53" s="510"/>
      <c r="F53" s="511"/>
      <c r="G53" s="583"/>
      <c r="H53" s="583"/>
      <c r="I53" s="583"/>
      <c r="J53" s="584"/>
      <c r="K53" s="586"/>
      <c r="L53" s="494"/>
      <c r="M53" s="459"/>
      <c r="N53" s="568"/>
      <c r="O53" s="460"/>
      <c r="P53" s="578"/>
      <c r="Q53" s="575"/>
    </row>
    <row r="54" spans="1:17" s="390" customFormat="1" ht="75.75" hidden="1" customHeight="1">
      <c r="A54" s="499"/>
      <c r="B54" s="524"/>
      <c r="C54" s="510"/>
      <c r="D54" s="510"/>
      <c r="E54" s="510"/>
      <c r="F54" s="511"/>
      <c r="G54" s="583"/>
      <c r="H54" s="583"/>
      <c r="I54" s="583"/>
      <c r="J54" s="584"/>
      <c r="K54" s="586"/>
      <c r="L54" s="525"/>
      <c r="M54" s="459"/>
      <c r="N54" s="568"/>
      <c r="O54" s="460"/>
      <c r="P54" s="578"/>
      <c r="Q54" s="575"/>
    </row>
    <row r="55" spans="1:17" s="390" customFormat="1" ht="116.25" hidden="1" customHeight="1">
      <c r="A55" s="499"/>
      <c r="B55" s="524"/>
      <c r="C55" s="510"/>
      <c r="D55" s="510"/>
      <c r="E55" s="510"/>
      <c r="F55" s="511"/>
      <c r="G55" s="583"/>
      <c r="H55" s="583"/>
      <c r="I55" s="583"/>
      <c r="J55" s="584"/>
      <c r="K55" s="586"/>
      <c r="L55" s="525"/>
      <c r="M55" s="459"/>
      <c r="N55" s="568"/>
      <c r="O55" s="460"/>
      <c r="P55" s="578"/>
      <c r="Q55" s="575"/>
    </row>
    <row r="56" spans="1:17" s="390" customFormat="1" ht="159.75" customHeight="1">
      <c r="A56" s="506" t="s">
        <v>62</v>
      </c>
      <c r="B56" s="526" t="s">
        <v>2</v>
      </c>
      <c r="C56" s="518">
        <v>58171</v>
      </c>
      <c r="D56" s="518">
        <v>627.6</v>
      </c>
      <c r="E56" s="518">
        <v>257.5</v>
      </c>
      <c r="F56" s="562">
        <f>E56+D56+C56</f>
        <v>59056.1</v>
      </c>
      <c r="G56" s="518">
        <v>10329.5</v>
      </c>
      <c r="H56" s="518">
        <v>1</v>
      </c>
      <c r="I56" s="518">
        <v>100</v>
      </c>
      <c r="J56" s="562">
        <f>G56+I56+H56</f>
        <v>10430.5</v>
      </c>
      <c r="K56" s="564">
        <f>J56*100/F56</f>
        <v>17.662019672819575</v>
      </c>
      <c r="L56" s="569" t="s">
        <v>425</v>
      </c>
      <c r="M56" s="450">
        <f>17176.33+4967.85+144.27+916.2+165.06+77.19+95.4+9.45+79.96+1.72+229.17</f>
        <v>23862.600000000002</v>
      </c>
      <c r="N56" s="710">
        <f>SUM(M56:M64)</f>
        <v>31436.95</v>
      </c>
      <c r="O56" s="450">
        <f>6387.73+30.6+1348.12+56.54+567.09+38.53+8.15+3.3+508.44</f>
        <v>8948.5</v>
      </c>
      <c r="P56" s="465">
        <f>O57+O56+O60+O61+O62+O63+O64+O66+O67+O68+O69+O58+O59+O65</f>
        <v>10430.5</v>
      </c>
      <c r="Q56" s="449">
        <f>J56-P56</f>
        <v>0</v>
      </c>
    </row>
    <row r="57" spans="1:17" s="390" customFormat="1" ht="201.75" hidden="1" customHeight="1">
      <c r="A57" s="499"/>
      <c r="B57" s="582"/>
      <c r="C57" s="502"/>
      <c r="D57" s="502"/>
      <c r="E57" s="502"/>
      <c r="F57" s="497"/>
      <c r="G57" s="502"/>
      <c r="H57" s="502"/>
      <c r="I57" s="502"/>
      <c r="J57" s="497"/>
      <c r="K57" s="586"/>
      <c r="L57" s="570"/>
      <c r="M57" s="460">
        <f>26.5+31.34+50+9.37+30+524.58+0.83+234.4+7.3+91.5+93.9+77.8+4.08+4.59+200+39.99+35.96+14.71+11.97+117.28</f>
        <v>1606.1</v>
      </c>
      <c r="N57" s="711"/>
      <c r="O57" s="460"/>
      <c r="P57" s="578"/>
      <c r="Q57" s="581"/>
    </row>
    <row r="58" spans="1:17" s="390" customFormat="1" ht="60.75" hidden="1" customHeight="1">
      <c r="A58" s="499"/>
      <c r="B58" s="582"/>
      <c r="C58" s="502"/>
      <c r="D58" s="502"/>
      <c r="E58" s="502"/>
      <c r="F58" s="497"/>
      <c r="G58" s="502"/>
      <c r="H58" s="502"/>
      <c r="I58" s="502"/>
      <c r="J58" s="497"/>
      <c r="K58" s="586"/>
      <c r="L58" s="527"/>
      <c r="M58" s="460"/>
      <c r="N58" s="711"/>
      <c r="O58" s="460"/>
      <c r="P58" s="578"/>
      <c r="Q58" s="581"/>
    </row>
    <row r="59" spans="1:17" s="390" customFormat="1" ht="72.75" hidden="1" customHeight="1">
      <c r="A59" s="499"/>
      <c r="B59" s="582"/>
      <c r="C59" s="502"/>
      <c r="D59" s="502"/>
      <c r="E59" s="502"/>
      <c r="F59" s="497"/>
      <c r="G59" s="502"/>
      <c r="H59" s="502"/>
      <c r="I59" s="502"/>
      <c r="J59" s="497"/>
      <c r="K59" s="586"/>
      <c r="L59" s="527"/>
      <c r="M59" s="460"/>
      <c r="N59" s="711"/>
      <c r="O59" s="460"/>
      <c r="P59" s="578"/>
      <c r="Q59" s="581"/>
    </row>
    <row r="60" spans="1:17" s="390" customFormat="1" ht="93.75" hidden="1" customHeight="1">
      <c r="A60" s="499"/>
      <c r="B60" s="582"/>
      <c r="C60" s="502"/>
      <c r="D60" s="502"/>
      <c r="E60" s="502"/>
      <c r="F60" s="497"/>
      <c r="G60" s="502"/>
      <c r="H60" s="502"/>
      <c r="I60" s="502"/>
      <c r="J60" s="497"/>
      <c r="K60" s="586"/>
      <c r="L60" s="527"/>
      <c r="M60" s="460"/>
      <c r="N60" s="711"/>
      <c r="O60" s="460"/>
      <c r="P60" s="578"/>
      <c r="Q60" s="581"/>
    </row>
    <row r="61" spans="1:17" s="390" customFormat="1" ht="87.75" customHeight="1">
      <c r="A61" s="499"/>
      <c r="B61" s="582"/>
      <c r="C61" s="502"/>
      <c r="D61" s="502"/>
      <c r="E61" s="502"/>
      <c r="F61" s="497"/>
      <c r="G61" s="502"/>
      <c r="H61" s="502"/>
      <c r="I61" s="502"/>
      <c r="J61" s="497"/>
      <c r="K61" s="586"/>
      <c r="L61" s="570" t="s">
        <v>415</v>
      </c>
      <c r="M61" s="460">
        <f>6.79+332.5</f>
        <v>339.29</v>
      </c>
      <c r="N61" s="711"/>
      <c r="O61" s="460">
        <f>1.02+1+100</f>
        <v>102.02</v>
      </c>
      <c r="P61" s="578"/>
      <c r="Q61" s="581"/>
    </row>
    <row r="62" spans="1:17" s="390" customFormat="1" ht="71.25" hidden="1" customHeight="1">
      <c r="A62" s="499"/>
      <c r="B62" s="582"/>
      <c r="C62" s="502"/>
      <c r="D62" s="502"/>
      <c r="E62" s="502"/>
      <c r="F62" s="497"/>
      <c r="G62" s="502"/>
      <c r="H62" s="502"/>
      <c r="I62" s="502"/>
      <c r="J62" s="497"/>
      <c r="K62" s="586"/>
      <c r="L62" s="527"/>
      <c r="M62" s="460"/>
      <c r="N62" s="711"/>
      <c r="O62" s="460"/>
      <c r="P62" s="578"/>
      <c r="Q62" s="581"/>
    </row>
    <row r="63" spans="1:17" s="390" customFormat="1" ht="162" customHeight="1">
      <c r="A63" s="499"/>
      <c r="B63" s="582"/>
      <c r="C63" s="502"/>
      <c r="D63" s="502"/>
      <c r="E63" s="502"/>
      <c r="F63" s="497"/>
      <c r="G63" s="502"/>
      <c r="H63" s="502"/>
      <c r="I63" s="502"/>
      <c r="J63" s="497"/>
      <c r="K63" s="586"/>
      <c r="L63" s="570" t="s">
        <v>426</v>
      </c>
      <c r="M63" s="460">
        <f>1835.14+527.19+26.66+204.47+102.85+134.34+113.93+144.55+19.09+28.5+12.89+0.09+4.37+24.43+1.13</f>
        <v>3179.6299999999997</v>
      </c>
      <c r="N63" s="711"/>
      <c r="O63" s="460">
        <f>758.05+151.46+7.25+177.73+18.9+42.1+174.68+0.12+1.61</f>
        <v>1331.8999999999999</v>
      </c>
      <c r="P63" s="578"/>
      <c r="Q63" s="581"/>
    </row>
    <row r="64" spans="1:17" s="390" customFormat="1" ht="108" customHeight="1">
      <c r="A64" s="499"/>
      <c r="B64" s="582"/>
      <c r="C64" s="502"/>
      <c r="D64" s="502"/>
      <c r="E64" s="502"/>
      <c r="F64" s="497"/>
      <c r="G64" s="502"/>
      <c r="H64" s="502"/>
      <c r="I64" s="502"/>
      <c r="J64" s="497"/>
      <c r="K64" s="586"/>
      <c r="L64" s="570" t="s">
        <v>417</v>
      </c>
      <c r="M64" s="459">
        <f>3.46+13+2.4+20+4.5+11+50+5.1+10.5+2.1+500+220+32.66+8.85+25+2+22+22+5.4+24.6+8.4+17.03+27.61+1299.96+4.9+23.2+8+5.21+10.6+9.25+50.6</f>
        <v>2449.3299999999995</v>
      </c>
      <c r="N64" s="711"/>
      <c r="O64" s="460">
        <f>3.18+3.25+3.9+2.86+3+7.49+5.9</f>
        <v>29.58</v>
      </c>
      <c r="P64" s="573"/>
      <c r="Q64" s="575"/>
    </row>
    <row r="65" spans="1:19" s="390" customFormat="1" ht="152.25" hidden="1" customHeight="1">
      <c r="A65" s="499"/>
      <c r="B65" s="582"/>
      <c r="C65" s="502"/>
      <c r="D65" s="502"/>
      <c r="E65" s="502"/>
      <c r="F65" s="497"/>
      <c r="G65" s="502"/>
      <c r="H65" s="502"/>
      <c r="I65" s="502"/>
      <c r="J65" s="497"/>
      <c r="K65" s="586"/>
      <c r="L65" s="528"/>
      <c r="M65" s="459"/>
      <c r="N65" s="571"/>
      <c r="O65" s="460"/>
      <c r="P65" s="578"/>
      <c r="Q65" s="575"/>
    </row>
    <row r="66" spans="1:19" s="390" customFormat="1" ht="50.25" customHeight="1">
      <c r="A66" s="499"/>
      <c r="B66" s="582"/>
      <c r="C66" s="502"/>
      <c r="D66" s="502"/>
      <c r="E66" s="502"/>
      <c r="F66" s="497"/>
      <c r="G66" s="502"/>
      <c r="H66" s="502"/>
      <c r="I66" s="502"/>
      <c r="J66" s="497"/>
      <c r="K66" s="586"/>
      <c r="L66" s="527" t="s">
        <v>416</v>
      </c>
      <c r="M66" s="459"/>
      <c r="N66" s="571"/>
      <c r="O66" s="460">
        <v>18.5</v>
      </c>
      <c r="P66" s="578"/>
      <c r="Q66" s="575"/>
    </row>
    <row r="67" spans="1:19" s="390" customFormat="1" ht="92.25" hidden="1" customHeight="1">
      <c r="A67" s="499"/>
      <c r="B67" s="582"/>
      <c r="C67" s="502"/>
      <c r="D67" s="502"/>
      <c r="E67" s="502"/>
      <c r="F67" s="497"/>
      <c r="G67" s="502"/>
      <c r="H67" s="502"/>
      <c r="I67" s="502"/>
      <c r="J67" s="497"/>
      <c r="K67" s="586"/>
      <c r="L67" s="527"/>
      <c r="M67" s="459"/>
      <c r="N67" s="571"/>
      <c r="O67" s="460"/>
      <c r="P67" s="578"/>
      <c r="Q67" s="575"/>
    </row>
    <row r="68" spans="1:19" s="390" customFormat="1" ht="124.5" hidden="1" customHeight="1">
      <c r="A68" s="499"/>
      <c r="B68" s="582"/>
      <c r="C68" s="502"/>
      <c r="D68" s="502"/>
      <c r="E68" s="502"/>
      <c r="F68" s="497"/>
      <c r="G68" s="502"/>
      <c r="H68" s="502"/>
      <c r="I68" s="502"/>
      <c r="J68" s="497"/>
      <c r="K68" s="586"/>
      <c r="L68" s="527"/>
      <c r="M68" s="459"/>
      <c r="N68" s="571"/>
      <c r="O68" s="460"/>
      <c r="P68" s="578"/>
      <c r="Q68" s="575"/>
    </row>
    <row r="69" spans="1:19" s="390" customFormat="1" ht="98.25" hidden="1" customHeight="1">
      <c r="A69" s="499"/>
      <c r="B69" s="582"/>
      <c r="C69" s="502"/>
      <c r="D69" s="502"/>
      <c r="E69" s="502"/>
      <c r="F69" s="497"/>
      <c r="G69" s="502"/>
      <c r="H69" s="502"/>
      <c r="I69" s="502"/>
      <c r="J69" s="497"/>
      <c r="K69" s="586"/>
      <c r="L69" s="527"/>
      <c r="M69" s="459"/>
      <c r="N69" s="571"/>
      <c r="O69" s="460"/>
      <c r="P69" s="578"/>
      <c r="Q69" s="575"/>
    </row>
    <row r="70" spans="1:19" s="390" customFormat="1" ht="135" customHeight="1">
      <c r="A70" s="506" t="s">
        <v>63</v>
      </c>
      <c r="B70" s="529" t="s">
        <v>4</v>
      </c>
      <c r="C70" s="518">
        <v>28061.4</v>
      </c>
      <c r="D70" s="518"/>
      <c r="E70" s="518"/>
      <c r="F70" s="562">
        <f>E70+D70+C70</f>
        <v>28061.4</v>
      </c>
      <c r="G70" s="518">
        <v>5187.8</v>
      </c>
      <c r="H70" s="518"/>
      <c r="I70" s="518"/>
      <c r="J70" s="562">
        <f>G70+H70+I70</f>
        <v>5187.8</v>
      </c>
      <c r="K70" s="564">
        <f>J70/F70*100</f>
        <v>18.487317097507606</v>
      </c>
      <c r="L70" s="760" t="s">
        <v>424</v>
      </c>
      <c r="M70" s="450">
        <v>342.5</v>
      </c>
      <c r="N70" s="710">
        <f>M70+M72+M73</f>
        <v>1366</v>
      </c>
      <c r="O70" s="423">
        <f>3526.12+778.72+0.65+490.51+12.1+57.59+197.51</f>
        <v>5063.2000000000007</v>
      </c>
      <c r="P70" s="572">
        <f>O70+O71+O72+O73</f>
        <v>5187.8000000000011</v>
      </c>
      <c r="Q70" s="577">
        <f>J70-P70</f>
        <v>0</v>
      </c>
      <c r="R70" s="429">
        <f>J70-Q70</f>
        <v>5187.8</v>
      </c>
    </row>
    <row r="71" spans="1:19" s="390" customFormat="1" ht="83.25" hidden="1" customHeight="1">
      <c r="A71" s="499"/>
      <c r="B71" s="530"/>
      <c r="C71" s="502"/>
      <c r="D71" s="502"/>
      <c r="E71" s="502"/>
      <c r="F71" s="497"/>
      <c r="G71" s="502"/>
      <c r="H71" s="502"/>
      <c r="I71" s="502"/>
      <c r="J71" s="497"/>
      <c r="K71" s="586"/>
      <c r="L71" s="498"/>
      <c r="M71" s="460"/>
      <c r="N71" s="711"/>
      <c r="O71" s="420"/>
      <c r="P71" s="578"/>
      <c r="Q71" s="577"/>
      <c r="R71" s="429"/>
    </row>
    <row r="72" spans="1:19" s="390" customFormat="1" ht="111" customHeight="1">
      <c r="A72" s="499"/>
      <c r="B72" s="530"/>
      <c r="C72" s="502"/>
      <c r="D72" s="502"/>
      <c r="E72" s="502"/>
      <c r="F72" s="497"/>
      <c r="G72" s="502"/>
      <c r="H72" s="502"/>
      <c r="I72" s="502"/>
      <c r="J72" s="497"/>
      <c r="K72" s="586"/>
      <c r="L72" s="416" t="s">
        <v>423</v>
      </c>
      <c r="M72" s="460">
        <f>10+15.25+20+7+113.65+24.6+7+6.1+30+3+7.2+6.1+11.19+3+6+15+3+7.72+15+5.6+96+33.16+109+4.23+10</f>
        <v>568.80000000000007</v>
      </c>
      <c r="N72" s="712"/>
      <c r="O72" s="471">
        <f>50.18+15.5+0.52+0.9+24.5</f>
        <v>91.600000000000009</v>
      </c>
      <c r="P72" s="491"/>
      <c r="Q72" s="581"/>
    </row>
    <row r="73" spans="1:19" s="390" customFormat="1" ht="78" customHeight="1">
      <c r="A73" s="499"/>
      <c r="B73" s="530"/>
      <c r="C73" s="502"/>
      <c r="D73" s="502"/>
      <c r="E73" s="502"/>
      <c r="F73" s="497"/>
      <c r="G73" s="502"/>
      <c r="H73" s="502"/>
      <c r="I73" s="502"/>
      <c r="J73" s="497"/>
      <c r="K73" s="586"/>
      <c r="L73" s="498" t="s">
        <v>418</v>
      </c>
      <c r="M73" s="413">
        <f>10.5+49.69+121+128.33+10.31+25+35.9+14+25.97+30+4</f>
        <v>454.69999999999993</v>
      </c>
      <c r="N73" s="713"/>
      <c r="O73" s="413">
        <v>33</v>
      </c>
      <c r="P73" s="573"/>
      <c r="Q73" s="581"/>
    </row>
    <row r="74" spans="1:19" s="390" customFormat="1" ht="117" customHeight="1">
      <c r="A74" s="506" t="s">
        <v>64</v>
      </c>
      <c r="B74" s="531" t="s">
        <v>38</v>
      </c>
      <c r="C74" s="518">
        <v>43813.3</v>
      </c>
      <c r="D74" s="518"/>
      <c r="E74" s="518"/>
      <c r="F74" s="562">
        <f>E74+D74+C74</f>
        <v>43813.3</v>
      </c>
      <c r="G74" s="518">
        <v>7650.5</v>
      </c>
      <c r="H74" s="518"/>
      <c r="I74" s="518"/>
      <c r="J74" s="562">
        <f>I74+H74+G74</f>
        <v>7650.5</v>
      </c>
      <c r="K74" s="564">
        <f>J74*100/F74</f>
        <v>17.461592712715088</v>
      </c>
      <c r="L74" s="494" t="s">
        <v>420</v>
      </c>
      <c r="M74" s="430">
        <f>3961.47+1099.01+16.81+7.7+268.76+8+3.5</f>
        <v>5365.25</v>
      </c>
      <c r="N74" s="710">
        <f>M74+M75</f>
        <v>22512.099999999995</v>
      </c>
      <c r="O74" s="450">
        <f>917.55+220.59+30.41</f>
        <v>1168.55</v>
      </c>
      <c r="P74" s="722">
        <f>O74+O75</f>
        <v>7650.5000000000009</v>
      </c>
      <c r="Q74" s="714">
        <f>J74-P74</f>
        <v>0</v>
      </c>
    </row>
    <row r="75" spans="1:19" s="390" customFormat="1" ht="101.25" customHeight="1">
      <c r="A75" s="532"/>
      <c r="B75" s="514"/>
      <c r="C75" s="502"/>
      <c r="D75" s="502"/>
      <c r="E75" s="502"/>
      <c r="F75" s="497"/>
      <c r="G75" s="502"/>
      <c r="H75" s="502"/>
      <c r="I75" s="502"/>
      <c r="J75" s="497"/>
      <c r="K75" s="586"/>
      <c r="L75" s="763" t="s">
        <v>419</v>
      </c>
      <c r="M75" s="422">
        <f>12954.75+3628.12+59.06+114.09+161.69+8.42+185.54+5.76+3.73+25.69</f>
        <v>17146.849999999995</v>
      </c>
      <c r="N75" s="713"/>
      <c r="O75" s="460">
        <f>5168.52+1256.54+53.3+3.59</f>
        <v>6481.9500000000007</v>
      </c>
      <c r="P75" s="723"/>
      <c r="Q75" s="714"/>
    </row>
    <row r="76" spans="1:19" s="390" customFormat="1" ht="118.5" customHeight="1">
      <c r="A76" s="506" t="s">
        <v>65</v>
      </c>
      <c r="B76" s="529" t="s">
        <v>6</v>
      </c>
      <c r="C76" s="518">
        <v>3033.5</v>
      </c>
      <c r="D76" s="518"/>
      <c r="E76" s="562"/>
      <c r="F76" s="562">
        <f>E76+D76+C76</f>
        <v>3033.5</v>
      </c>
      <c r="G76" s="518">
        <v>560.20000000000005</v>
      </c>
      <c r="H76" s="518"/>
      <c r="I76" s="518"/>
      <c r="J76" s="562">
        <f>I76+H76+G76</f>
        <v>560.20000000000005</v>
      </c>
      <c r="K76" s="564">
        <f>J76*100/F76</f>
        <v>18.467117191363116</v>
      </c>
      <c r="L76" s="509" t="s">
        <v>421</v>
      </c>
      <c r="M76" s="450">
        <f>957.78+275.7+12.5+2.4+20+4.1+28.1+24.82</f>
        <v>1325.3999999999999</v>
      </c>
      <c r="N76" s="715">
        <f>M76+M77</f>
        <v>1616.3999999999999</v>
      </c>
      <c r="O76" s="423">
        <f>357.6+82.38+0.72+7.85+5.95+1.1+44</f>
        <v>499.60000000000008</v>
      </c>
      <c r="P76" s="717">
        <f>O76+O77</f>
        <v>560.20000000000005</v>
      </c>
      <c r="Q76" s="714">
        <f>J76-P76</f>
        <v>0</v>
      </c>
      <c r="R76" s="462"/>
    </row>
    <row r="77" spans="1:19" s="390" customFormat="1" ht="87.75" customHeight="1">
      <c r="A77" s="533"/>
      <c r="B77" s="534"/>
      <c r="C77" s="535"/>
      <c r="D77" s="536"/>
      <c r="E77" s="563"/>
      <c r="F77" s="563"/>
      <c r="G77" s="535"/>
      <c r="H77" s="535"/>
      <c r="I77" s="535"/>
      <c r="J77" s="563"/>
      <c r="K77" s="565"/>
      <c r="L77" s="521" t="s">
        <v>422</v>
      </c>
      <c r="M77" s="413">
        <f>14+2.4+54.98+38.74+28.8+11.2+50+31.8+37+21+1+0.08</f>
        <v>291</v>
      </c>
      <c r="N77" s="716"/>
      <c r="O77" s="434">
        <f>5+3.9+7.8+7.1+36.8</f>
        <v>60.599999999999994</v>
      </c>
      <c r="P77" s="718"/>
      <c r="Q77" s="719"/>
    </row>
    <row r="78" spans="1:19" s="390" customFormat="1" ht="174.75" customHeight="1">
      <c r="A78" s="567" t="s">
        <v>31</v>
      </c>
      <c r="B78" s="537" t="s">
        <v>72</v>
      </c>
      <c r="C78" s="562">
        <v>79005.399999999994</v>
      </c>
      <c r="D78" s="562"/>
      <c r="E78" s="562"/>
      <c r="F78" s="562">
        <f>E78+D78+C78</f>
        <v>79005.399999999994</v>
      </c>
      <c r="G78" s="562">
        <v>15097.1</v>
      </c>
      <c r="H78" s="538"/>
      <c r="I78" s="562"/>
      <c r="J78" s="562">
        <f>I78+H78+G78</f>
        <v>15097.1</v>
      </c>
      <c r="K78" s="564">
        <f>J78*100/F78</f>
        <v>19.108946983370757</v>
      </c>
      <c r="L78" s="760" t="s">
        <v>375</v>
      </c>
      <c r="M78" s="450">
        <f>9.5+8.4+6.5+9.05+13.64+6</f>
        <v>53.09</v>
      </c>
      <c r="N78" s="710" t="e">
        <f>M78+M79+#REF!+#REF!+#REF!+#REF!+M82+#REF!+#REF!</f>
        <v>#REF!</v>
      </c>
      <c r="O78" s="450">
        <f>9.67+35.63+16.9+7.77+9.63+6.07+6.64+16.05</f>
        <v>108.35999999999999</v>
      </c>
      <c r="P78" s="720">
        <f>O78+O79+O80+O81+O82+O84+O83</f>
        <v>15097.1</v>
      </c>
      <c r="Q78" s="453">
        <f>J78-P78</f>
        <v>0</v>
      </c>
      <c r="R78" s="577">
        <f>J78-P78</f>
        <v>0</v>
      </c>
      <c r="S78" s="432"/>
    </row>
    <row r="79" spans="1:19" s="390" customFormat="1" ht="175.5" customHeight="1">
      <c r="A79" s="495"/>
      <c r="B79" s="517"/>
      <c r="C79" s="497"/>
      <c r="D79" s="497"/>
      <c r="E79" s="502"/>
      <c r="F79" s="497"/>
      <c r="G79" s="497"/>
      <c r="H79" s="497"/>
      <c r="I79" s="497"/>
      <c r="J79" s="497"/>
      <c r="K79" s="586"/>
      <c r="L79" s="498" t="s">
        <v>373</v>
      </c>
      <c r="M79" s="460">
        <f>3039.83+865.66+4.9+60.7</f>
        <v>3971.0899999999997</v>
      </c>
      <c r="N79" s="711"/>
      <c r="O79" s="460">
        <f>6713.54+9.28+1642.91+3.54+651.23+61.79+26.32+1.84+47.34+0.74+229.36</f>
        <v>9387.8900000000012</v>
      </c>
      <c r="P79" s="721"/>
      <c r="Q79" s="581"/>
    </row>
    <row r="80" spans="1:19" s="390" customFormat="1" ht="60.75" customHeight="1">
      <c r="A80" s="495"/>
      <c r="B80" s="517"/>
      <c r="C80" s="497"/>
      <c r="D80" s="497"/>
      <c r="E80" s="502"/>
      <c r="F80" s="497"/>
      <c r="G80" s="497"/>
      <c r="H80" s="497"/>
      <c r="I80" s="497"/>
      <c r="J80" s="497"/>
      <c r="K80" s="586"/>
      <c r="L80" s="472" t="s">
        <v>374</v>
      </c>
      <c r="M80" s="460"/>
      <c r="N80" s="711"/>
      <c r="O80" s="460">
        <v>50</v>
      </c>
      <c r="P80" s="721"/>
      <c r="Q80" s="581"/>
    </row>
    <row r="81" spans="1:17" s="390" customFormat="1" ht="123" customHeight="1">
      <c r="A81" s="495"/>
      <c r="B81" s="517"/>
      <c r="C81" s="497"/>
      <c r="D81" s="497"/>
      <c r="E81" s="502"/>
      <c r="F81" s="497"/>
      <c r="G81" s="497"/>
      <c r="H81" s="497"/>
      <c r="I81" s="497"/>
      <c r="J81" s="497"/>
      <c r="K81" s="586"/>
      <c r="L81" s="472" t="s">
        <v>376</v>
      </c>
      <c r="M81" s="460"/>
      <c r="N81" s="711"/>
      <c r="O81" s="460">
        <f>3450.71+6.68+842.75+731.63+107.04+22.49+158.59</f>
        <v>5319.8899999999994</v>
      </c>
      <c r="P81" s="721"/>
      <c r="Q81" s="581"/>
    </row>
    <row r="82" spans="1:17" s="390" customFormat="1" ht="198" customHeight="1">
      <c r="A82" s="515"/>
      <c r="B82" s="517"/>
      <c r="C82" s="497"/>
      <c r="D82" s="497"/>
      <c r="E82" s="502"/>
      <c r="F82" s="497"/>
      <c r="G82" s="497"/>
      <c r="H82" s="497"/>
      <c r="I82" s="497"/>
      <c r="J82" s="497"/>
      <c r="K82" s="586"/>
      <c r="L82" s="509" t="s">
        <v>377</v>
      </c>
      <c r="M82" s="460">
        <f>12+4.56+14.5+30+25.35+9.45+21.76+12.97+8.16+10.29+4.14+8.5+4.05+12.15+6.4</f>
        <v>184.28</v>
      </c>
      <c r="N82" s="711"/>
      <c r="O82" s="460">
        <f>49.64+8.16+3.9+6.1+6.84+22.74+10.49+8.32+100+14.77</f>
        <v>230.96</v>
      </c>
      <c r="P82" s="721"/>
      <c r="Q82" s="581" t="e">
        <f>1845.2-O82-#REF!-#REF!</f>
        <v>#REF!</v>
      </c>
    </row>
    <row r="83" spans="1:17" s="390" customFormat="1" ht="127.5" hidden="1" customHeight="1">
      <c r="A83" s="515"/>
      <c r="B83" s="517"/>
      <c r="C83" s="497"/>
      <c r="D83" s="497"/>
      <c r="E83" s="502"/>
      <c r="F83" s="497"/>
      <c r="G83" s="497"/>
      <c r="H83" s="497"/>
      <c r="I83" s="497"/>
      <c r="J83" s="497"/>
      <c r="K83" s="586"/>
      <c r="L83" s="509"/>
      <c r="M83" s="461"/>
      <c r="N83" s="579"/>
      <c r="O83" s="461"/>
      <c r="P83" s="574"/>
      <c r="Q83" s="581"/>
    </row>
    <row r="84" spans="1:17" s="390" customFormat="1" ht="205.5" hidden="1" customHeight="1">
      <c r="A84" s="515"/>
      <c r="B84" s="517"/>
      <c r="C84" s="497"/>
      <c r="D84" s="497"/>
      <c r="E84" s="502"/>
      <c r="F84" s="497"/>
      <c r="G84" s="497"/>
      <c r="H84" s="497"/>
      <c r="I84" s="497"/>
      <c r="J84" s="497"/>
      <c r="K84" s="586"/>
      <c r="L84" s="509"/>
      <c r="M84" s="461"/>
      <c r="N84" s="579"/>
      <c r="O84" s="422"/>
      <c r="P84" s="490"/>
      <c r="Q84" s="581"/>
    </row>
    <row r="85" spans="1:17" s="390" customFormat="1" ht="71.25" customHeight="1">
      <c r="A85" s="448">
        <v>7</v>
      </c>
      <c r="B85" s="415" t="s">
        <v>73</v>
      </c>
      <c r="C85" s="503">
        <f t="shared" ref="C85:J85" si="2">C86+C88+C92</f>
        <v>17683.900000000001</v>
      </c>
      <c r="D85" s="503">
        <f t="shared" si="2"/>
        <v>131932.9</v>
      </c>
      <c r="E85" s="503">
        <f t="shared" si="2"/>
        <v>15920.1</v>
      </c>
      <c r="F85" s="503">
        <f t="shared" si="2"/>
        <v>165536.9</v>
      </c>
      <c r="G85" s="503">
        <f>G86+G88+G92</f>
        <v>2837.7</v>
      </c>
      <c r="H85" s="503">
        <f t="shared" si="2"/>
        <v>20853.5</v>
      </c>
      <c r="I85" s="503">
        <f t="shared" si="2"/>
        <v>0</v>
      </c>
      <c r="J85" s="503">
        <f t="shared" si="2"/>
        <v>23691.200000000001</v>
      </c>
      <c r="K85" s="504">
        <f>J85*100/F85</f>
        <v>14.311733516817096</v>
      </c>
      <c r="L85" s="416"/>
      <c r="M85" s="388"/>
      <c r="N85" s="389"/>
      <c r="O85" s="388"/>
      <c r="P85" s="577"/>
      <c r="Q85" s="581"/>
    </row>
    <row r="86" spans="1:17" s="390" customFormat="1" ht="245.25" customHeight="1">
      <c r="A86" s="539" t="s">
        <v>32</v>
      </c>
      <c r="B86" s="531" t="s">
        <v>45</v>
      </c>
      <c r="C86" s="518">
        <v>11249.1</v>
      </c>
      <c r="D86" s="518">
        <v>4035</v>
      </c>
      <c r="E86" s="518"/>
      <c r="F86" s="562">
        <f>E86+D86+C86</f>
        <v>15284.1</v>
      </c>
      <c r="G86" s="518">
        <v>1922.3</v>
      </c>
      <c r="H86" s="518">
        <v>621</v>
      </c>
      <c r="I86" s="518"/>
      <c r="J86" s="562">
        <f>I86+H86+G86</f>
        <v>2543.3000000000002</v>
      </c>
      <c r="K86" s="564">
        <f>J86*100/F86</f>
        <v>16.640168541163696</v>
      </c>
      <c r="L86" s="762" t="s">
        <v>386</v>
      </c>
      <c r="M86" s="450">
        <f>5355.4+50+25.7+80+429</f>
        <v>5940.0999999999995</v>
      </c>
      <c r="N86" s="703">
        <f>M86+M87</f>
        <v>9880.9</v>
      </c>
      <c r="O86" s="450">
        <f>1847.9+30+4.4+40+133.4</f>
        <v>2055.7000000000003</v>
      </c>
      <c r="P86" s="727">
        <f>O86+O87</f>
        <v>2543.3000000000002</v>
      </c>
      <c r="Q86" s="729">
        <f>J86-P86</f>
        <v>0</v>
      </c>
    </row>
    <row r="87" spans="1:17" s="390" customFormat="1" ht="73.5" customHeight="1">
      <c r="A87" s="540"/>
      <c r="B87" s="541"/>
      <c r="C87" s="535"/>
      <c r="D87" s="535"/>
      <c r="E87" s="535"/>
      <c r="F87" s="563"/>
      <c r="G87" s="535"/>
      <c r="H87" s="535"/>
      <c r="I87" s="535"/>
      <c r="J87" s="563"/>
      <c r="K87" s="565"/>
      <c r="L87" s="759" t="s">
        <v>385</v>
      </c>
      <c r="M87" s="413">
        <v>3940.8</v>
      </c>
      <c r="N87" s="726"/>
      <c r="O87" s="413">
        <v>487.6</v>
      </c>
      <c r="P87" s="728"/>
      <c r="Q87" s="730"/>
    </row>
    <row r="88" spans="1:17" s="390" customFormat="1" ht="131.25" customHeight="1">
      <c r="A88" s="506" t="s">
        <v>34</v>
      </c>
      <c r="B88" s="531" t="s">
        <v>7</v>
      </c>
      <c r="C88" s="507"/>
      <c r="D88" s="507">
        <v>123693.8</v>
      </c>
      <c r="E88" s="507">
        <v>15920.1</v>
      </c>
      <c r="F88" s="508">
        <f>E88+D88+C88</f>
        <v>139613.9</v>
      </c>
      <c r="G88" s="507"/>
      <c r="H88" s="507">
        <v>20232.5</v>
      </c>
      <c r="I88" s="507"/>
      <c r="J88" s="508">
        <f>G88+H88+I88</f>
        <v>20232.5</v>
      </c>
      <c r="K88" s="542">
        <f>J88*100/F88</f>
        <v>14.491751895763961</v>
      </c>
      <c r="L88" s="760" t="s">
        <v>387</v>
      </c>
      <c r="M88" s="430">
        <f>11180+33559.8</f>
        <v>44739.8</v>
      </c>
      <c r="N88" s="703" t="e">
        <f>M88+#REF!+M91</f>
        <v>#REF!</v>
      </c>
      <c r="O88" s="450">
        <v>7676</v>
      </c>
      <c r="P88" s="727">
        <f>O88+O89+O90+O91</f>
        <v>20232.5</v>
      </c>
      <c r="Q88" s="729">
        <f>J88-P88</f>
        <v>0</v>
      </c>
    </row>
    <row r="89" spans="1:17" s="390" customFormat="1" ht="115.5" customHeight="1">
      <c r="A89" s="499"/>
      <c r="B89" s="514"/>
      <c r="C89" s="510"/>
      <c r="D89" s="510"/>
      <c r="E89" s="510"/>
      <c r="F89" s="511"/>
      <c r="G89" s="510"/>
      <c r="H89" s="510"/>
      <c r="I89" s="510"/>
      <c r="J89" s="511"/>
      <c r="K89" s="543"/>
      <c r="L89" s="498" t="s">
        <v>388</v>
      </c>
      <c r="M89" s="461"/>
      <c r="N89" s="697"/>
      <c r="O89" s="450">
        <f>2261.23+157.1+42.13+8.11+33+6+36.1</f>
        <v>2543.67</v>
      </c>
      <c r="P89" s="714"/>
      <c r="Q89" s="695"/>
    </row>
    <row r="90" spans="1:17" s="390" customFormat="1" ht="94.5" customHeight="1">
      <c r="A90" s="499"/>
      <c r="B90" s="514"/>
      <c r="C90" s="510"/>
      <c r="D90" s="510"/>
      <c r="E90" s="510"/>
      <c r="F90" s="511"/>
      <c r="G90" s="510"/>
      <c r="H90" s="510"/>
      <c r="I90" s="510"/>
      <c r="J90" s="511"/>
      <c r="K90" s="543"/>
      <c r="L90" s="545" t="s">
        <v>389</v>
      </c>
      <c r="M90" s="461"/>
      <c r="N90" s="697"/>
      <c r="O90" s="460">
        <f>7321.33+2691.5</f>
        <v>10012.83</v>
      </c>
      <c r="P90" s="714"/>
      <c r="Q90" s="695"/>
    </row>
    <row r="91" spans="1:17" s="390" customFormat="1" ht="108.75" hidden="1" customHeight="1">
      <c r="A91" s="499"/>
      <c r="B91" s="541"/>
      <c r="C91" s="522"/>
      <c r="D91" s="522"/>
      <c r="E91" s="522"/>
      <c r="F91" s="523"/>
      <c r="G91" s="522"/>
      <c r="H91" s="522"/>
      <c r="I91" s="522"/>
      <c r="J91" s="523"/>
      <c r="K91" s="544"/>
      <c r="L91" s="545"/>
      <c r="M91" s="422">
        <f>22046.5+12798.3</f>
        <v>34844.800000000003</v>
      </c>
      <c r="N91" s="726"/>
      <c r="O91" s="413"/>
      <c r="P91" s="728"/>
      <c r="Q91" s="731"/>
    </row>
    <row r="92" spans="1:17" s="390" customFormat="1" ht="105.75" customHeight="1">
      <c r="A92" s="506" t="s">
        <v>35</v>
      </c>
      <c r="B92" s="546" t="s">
        <v>8</v>
      </c>
      <c r="C92" s="518">
        <v>6434.8</v>
      </c>
      <c r="D92" s="518">
        <v>4204.1000000000004</v>
      </c>
      <c r="E92" s="518"/>
      <c r="F92" s="562">
        <f>E92+D92+C92</f>
        <v>10638.900000000001</v>
      </c>
      <c r="G92" s="518">
        <v>915.4</v>
      </c>
      <c r="H92" s="518"/>
      <c r="I92" s="518"/>
      <c r="J92" s="562">
        <f>I92+H92+G92</f>
        <v>915.4</v>
      </c>
      <c r="K92" s="564">
        <f>J92*100/F92</f>
        <v>8.6042729981483035</v>
      </c>
      <c r="L92" s="498" t="s">
        <v>384</v>
      </c>
      <c r="M92" s="450">
        <f>2052.2+136+21.6+195.9</f>
        <v>2405.6999999999998</v>
      </c>
      <c r="N92" s="433" t="e">
        <f>M92+#REF!</f>
        <v>#REF!</v>
      </c>
      <c r="O92" s="450">
        <v>915.4</v>
      </c>
      <c r="P92" s="727">
        <f>O92+O93+O94+O95+O96</f>
        <v>915.4</v>
      </c>
      <c r="Q92" s="729">
        <f>J92-P92</f>
        <v>0</v>
      </c>
    </row>
    <row r="93" spans="1:17" s="390" customFormat="1" ht="60" hidden="1" customHeight="1">
      <c r="A93" s="532"/>
      <c r="B93" s="514"/>
      <c r="C93" s="502"/>
      <c r="D93" s="502"/>
      <c r="E93" s="502"/>
      <c r="F93" s="497"/>
      <c r="G93" s="502"/>
      <c r="H93" s="502"/>
      <c r="I93" s="502"/>
      <c r="J93" s="497"/>
      <c r="K93" s="586"/>
      <c r="L93" s="547"/>
      <c r="M93" s="460"/>
      <c r="N93" s="421"/>
      <c r="O93" s="460"/>
      <c r="P93" s="714"/>
      <c r="Q93" s="695"/>
    </row>
    <row r="94" spans="1:17" s="390" customFormat="1" ht="60.75" hidden="1" customHeight="1">
      <c r="A94" s="499"/>
      <c r="B94" s="530"/>
      <c r="C94" s="502"/>
      <c r="D94" s="502"/>
      <c r="E94" s="502"/>
      <c r="F94" s="497"/>
      <c r="G94" s="502"/>
      <c r="H94" s="502"/>
      <c r="I94" s="502"/>
      <c r="J94" s="497"/>
      <c r="K94" s="543"/>
      <c r="L94" s="472"/>
      <c r="M94" s="461"/>
      <c r="N94" s="421"/>
      <c r="O94" s="460"/>
      <c r="P94" s="714"/>
      <c r="Q94" s="695"/>
    </row>
    <row r="95" spans="1:17" s="390" customFormat="1" ht="73.5" hidden="1" customHeight="1">
      <c r="A95" s="499"/>
      <c r="B95" s="530"/>
      <c r="C95" s="502"/>
      <c r="D95" s="502"/>
      <c r="E95" s="502"/>
      <c r="F95" s="497"/>
      <c r="G95" s="502"/>
      <c r="H95" s="502"/>
      <c r="I95" s="502"/>
      <c r="J95" s="497"/>
      <c r="K95" s="586"/>
      <c r="L95" s="472"/>
      <c r="M95" s="460"/>
      <c r="N95" s="421"/>
      <c r="O95" s="460"/>
      <c r="P95" s="714"/>
      <c r="Q95" s="695"/>
    </row>
    <row r="96" spans="1:17" s="390" customFormat="1" ht="71.25" hidden="1" customHeight="1">
      <c r="A96" s="499"/>
      <c r="B96" s="530"/>
      <c r="C96" s="502"/>
      <c r="D96" s="502"/>
      <c r="E96" s="502"/>
      <c r="F96" s="497"/>
      <c r="G96" s="502"/>
      <c r="H96" s="502"/>
      <c r="I96" s="502"/>
      <c r="J96" s="497"/>
      <c r="K96" s="586"/>
      <c r="L96" s="472"/>
      <c r="M96" s="460"/>
      <c r="N96" s="421"/>
      <c r="O96" s="460"/>
      <c r="P96" s="577"/>
      <c r="Q96" s="578"/>
    </row>
    <row r="97" spans="1:22" s="390" customFormat="1" ht="171.75" customHeight="1">
      <c r="A97" s="548" t="s">
        <v>37</v>
      </c>
      <c r="B97" s="566" t="s">
        <v>81</v>
      </c>
      <c r="C97" s="562">
        <v>29428.3</v>
      </c>
      <c r="D97" s="562"/>
      <c r="E97" s="562"/>
      <c r="F97" s="562">
        <f>E97+D97+C97</f>
        <v>29428.3</v>
      </c>
      <c r="G97" s="562">
        <v>7378.2</v>
      </c>
      <c r="H97" s="562"/>
      <c r="I97" s="562"/>
      <c r="J97" s="562">
        <f>I97+H97+G97</f>
        <v>7378.2</v>
      </c>
      <c r="K97" s="564">
        <f>J97*100/F97</f>
        <v>25.07178464267389</v>
      </c>
      <c r="L97" s="488" t="s">
        <v>381</v>
      </c>
      <c r="M97" s="423">
        <f>9556.7+2688.8+172.6+1474.5+454.5+500.3+138.4+204.4+9+349.8+147.85+22.53</f>
        <v>15719.38</v>
      </c>
      <c r="N97" s="732" t="e">
        <f>M97+#REF!+M99+M102</f>
        <v>#REF!</v>
      </c>
      <c r="O97" s="423">
        <f>4251.77+5.6+962.05+52.72+28.76+90.7+52.13+15.8+65+17.23+11.95+67.82+30.2+299+419.17+918.5</f>
        <v>7288.4000000000005</v>
      </c>
      <c r="P97" s="727">
        <f>O97+O98+O99+O100+O101+O102</f>
        <v>7378.2000000000007</v>
      </c>
      <c r="Q97" s="729">
        <f>J97-P97</f>
        <v>0</v>
      </c>
      <c r="R97" s="724"/>
    </row>
    <row r="98" spans="1:22" s="390" customFormat="1" ht="69" customHeight="1">
      <c r="A98" s="549"/>
      <c r="B98" s="550"/>
      <c r="C98" s="497"/>
      <c r="D98" s="497"/>
      <c r="E98" s="497"/>
      <c r="F98" s="497"/>
      <c r="G98" s="497"/>
      <c r="H98" s="497"/>
      <c r="I98" s="497"/>
      <c r="J98" s="497"/>
      <c r="K98" s="586"/>
      <c r="L98" s="435" t="s">
        <v>378</v>
      </c>
      <c r="M98" s="420"/>
      <c r="N98" s="733"/>
      <c r="O98" s="420">
        <v>8</v>
      </c>
      <c r="P98" s="714"/>
      <c r="Q98" s="695"/>
      <c r="R98" s="724"/>
    </row>
    <row r="99" spans="1:22" s="390" customFormat="1" ht="57" hidden="1" customHeight="1">
      <c r="A99" s="551"/>
      <c r="B99" s="550"/>
      <c r="C99" s="497"/>
      <c r="D99" s="497"/>
      <c r="E99" s="497"/>
      <c r="F99" s="497"/>
      <c r="G99" s="497"/>
      <c r="H99" s="497"/>
      <c r="I99" s="497"/>
      <c r="J99" s="497"/>
      <c r="K99" s="586"/>
      <c r="L99" s="488"/>
      <c r="M99" s="420">
        <f>271+50</f>
        <v>321</v>
      </c>
      <c r="N99" s="733"/>
      <c r="O99" s="460"/>
      <c r="P99" s="714"/>
      <c r="Q99" s="723"/>
      <c r="R99" s="725"/>
    </row>
    <row r="100" spans="1:22" s="390" customFormat="1" ht="57" customHeight="1">
      <c r="A100" s="551"/>
      <c r="B100" s="550"/>
      <c r="C100" s="497"/>
      <c r="D100" s="497"/>
      <c r="E100" s="497"/>
      <c r="F100" s="497"/>
      <c r="G100" s="497"/>
      <c r="H100" s="497"/>
      <c r="I100" s="497"/>
      <c r="J100" s="497"/>
      <c r="K100" s="586"/>
      <c r="L100" s="488" t="s">
        <v>379</v>
      </c>
      <c r="M100" s="420"/>
      <c r="N100" s="733"/>
      <c r="O100" s="460">
        <v>30</v>
      </c>
      <c r="P100" s="714"/>
      <c r="Q100" s="723"/>
      <c r="R100" s="725"/>
    </row>
    <row r="101" spans="1:22" s="390" customFormat="1" ht="94.5" hidden="1" customHeight="1">
      <c r="A101" s="551"/>
      <c r="B101" s="550"/>
      <c r="C101" s="497"/>
      <c r="D101" s="497"/>
      <c r="E101" s="497"/>
      <c r="F101" s="497"/>
      <c r="G101" s="497"/>
      <c r="H101" s="497"/>
      <c r="I101" s="497"/>
      <c r="J101" s="497"/>
      <c r="K101" s="586"/>
      <c r="L101" s="488"/>
      <c r="M101" s="420"/>
      <c r="N101" s="733"/>
      <c r="O101" s="460"/>
      <c r="P101" s="714"/>
      <c r="Q101" s="723"/>
      <c r="R101" s="725"/>
    </row>
    <row r="102" spans="1:22" s="390" customFormat="1" ht="136.5" customHeight="1">
      <c r="A102" s="551"/>
      <c r="B102" s="550"/>
      <c r="C102" s="497"/>
      <c r="D102" s="497"/>
      <c r="E102" s="497"/>
      <c r="F102" s="497"/>
      <c r="G102" s="497"/>
      <c r="H102" s="497"/>
      <c r="I102" s="497"/>
      <c r="J102" s="497"/>
      <c r="K102" s="586"/>
      <c r="L102" s="435" t="s">
        <v>380</v>
      </c>
      <c r="M102" s="434">
        <f>94.12+11.9</f>
        <v>106.02000000000001</v>
      </c>
      <c r="N102" s="734"/>
      <c r="O102" s="413">
        <f>3+6+12.8+30</f>
        <v>51.8</v>
      </c>
      <c r="P102" s="728"/>
      <c r="Q102" s="731"/>
      <c r="R102" s="725"/>
    </row>
    <row r="103" spans="1:22" s="390" customFormat="1" ht="167.25" customHeight="1">
      <c r="A103" s="414" t="s">
        <v>39</v>
      </c>
      <c r="B103" s="435" t="s">
        <v>74</v>
      </c>
      <c r="C103" s="503">
        <v>16</v>
      </c>
      <c r="D103" s="503"/>
      <c r="E103" s="503"/>
      <c r="F103" s="503">
        <f>E103+D103+C103</f>
        <v>16</v>
      </c>
      <c r="G103" s="503">
        <v>0</v>
      </c>
      <c r="H103" s="503"/>
      <c r="I103" s="503"/>
      <c r="J103" s="503">
        <f>G103+H103+I103</f>
        <v>0</v>
      </c>
      <c r="K103" s="504">
        <f>J103/F103*100</f>
        <v>0</v>
      </c>
      <c r="L103" s="416"/>
      <c r="M103" s="425">
        <f>4+3+3</f>
        <v>10</v>
      </c>
      <c r="N103" s="389"/>
      <c r="O103" s="431">
        <v>0</v>
      </c>
      <c r="P103" s="573"/>
      <c r="Q103" s="581"/>
    </row>
    <row r="104" spans="1:22" s="390" customFormat="1" ht="123.75" customHeight="1">
      <c r="A104" s="436" t="s">
        <v>40</v>
      </c>
      <c r="B104" s="505" t="s">
        <v>75</v>
      </c>
      <c r="C104" s="503">
        <f t="shared" ref="C104:J104" si="3">C105+C106+C107+C108</f>
        <v>109</v>
      </c>
      <c r="D104" s="503">
        <f t="shared" si="3"/>
        <v>0</v>
      </c>
      <c r="E104" s="503">
        <f t="shared" si="3"/>
        <v>0</v>
      </c>
      <c r="F104" s="503">
        <f t="shared" si="3"/>
        <v>109</v>
      </c>
      <c r="G104" s="503">
        <f>G105+G106+G107+G108</f>
        <v>1</v>
      </c>
      <c r="H104" s="503">
        <f t="shared" si="3"/>
        <v>0</v>
      </c>
      <c r="I104" s="503">
        <f t="shared" si="3"/>
        <v>0</v>
      </c>
      <c r="J104" s="503">
        <f t="shared" si="3"/>
        <v>1</v>
      </c>
      <c r="K104" s="504">
        <f>J104*100/F104</f>
        <v>0.91743119266055051</v>
      </c>
      <c r="L104" s="416"/>
      <c r="M104" s="388"/>
      <c r="N104" s="389"/>
      <c r="O104" s="388"/>
      <c r="P104" s="577"/>
      <c r="Q104" s="581"/>
    </row>
    <row r="105" spans="1:22" s="390" customFormat="1" ht="112.5" customHeight="1">
      <c r="A105" s="437" t="s">
        <v>66</v>
      </c>
      <c r="B105" s="552" t="s">
        <v>9</v>
      </c>
      <c r="C105" s="480">
        <v>17</v>
      </c>
      <c r="D105" s="480"/>
      <c r="E105" s="480"/>
      <c r="F105" s="503">
        <f>E105+D105+C105</f>
        <v>17</v>
      </c>
      <c r="G105" s="480"/>
      <c r="H105" s="480"/>
      <c r="I105" s="480"/>
      <c r="J105" s="503">
        <f>I105+H105+G105</f>
        <v>0</v>
      </c>
      <c r="K105" s="504">
        <f>J105*100/F105</f>
        <v>0</v>
      </c>
      <c r="L105" s="416"/>
      <c r="M105" s="450">
        <v>1.8</v>
      </c>
      <c r="N105" s="451">
        <f>M105+M106+M107+M108</f>
        <v>74.100000000000009</v>
      </c>
      <c r="O105" s="464"/>
      <c r="P105" s="572">
        <f>O105+O106+O107+O108</f>
        <v>1</v>
      </c>
      <c r="Q105" s="577">
        <f>J104-P105</f>
        <v>0</v>
      </c>
    </row>
    <row r="106" spans="1:22" s="390" customFormat="1" ht="61.5" customHeight="1">
      <c r="A106" s="438" t="s">
        <v>67</v>
      </c>
      <c r="B106" s="552" t="s">
        <v>48</v>
      </c>
      <c r="C106" s="480">
        <v>44</v>
      </c>
      <c r="D106" s="480"/>
      <c r="E106" s="480"/>
      <c r="F106" s="503">
        <f>E106+D106+C106</f>
        <v>44</v>
      </c>
      <c r="G106" s="480">
        <v>1</v>
      </c>
      <c r="H106" s="480"/>
      <c r="I106" s="480"/>
      <c r="J106" s="503">
        <f>I106+H106+G106</f>
        <v>1</v>
      </c>
      <c r="K106" s="504">
        <f>J106*100/F106</f>
        <v>2.2727272727272729</v>
      </c>
      <c r="L106" s="416" t="s">
        <v>370</v>
      </c>
      <c r="M106" s="460">
        <v>49.2</v>
      </c>
      <c r="N106" s="419"/>
      <c r="O106" s="460">
        <v>1</v>
      </c>
      <c r="P106" s="578"/>
      <c r="Q106" s="581"/>
    </row>
    <row r="107" spans="1:22" s="390" customFormat="1" ht="107.25" customHeight="1">
      <c r="A107" s="424" t="s">
        <v>68</v>
      </c>
      <c r="B107" s="428" t="s">
        <v>10</v>
      </c>
      <c r="C107" s="480">
        <v>45</v>
      </c>
      <c r="D107" s="480"/>
      <c r="E107" s="480"/>
      <c r="F107" s="503">
        <f>E107+D107+C107</f>
        <v>45</v>
      </c>
      <c r="G107" s="480"/>
      <c r="H107" s="480"/>
      <c r="I107" s="480"/>
      <c r="J107" s="503">
        <f>I107+H107+G107</f>
        <v>0</v>
      </c>
      <c r="K107" s="504">
        <f>J107*100/F107</f>
        <v>0</v>
      </c>
      <c r="L107" s="416"/>
      <c r="M107" s="413">
        <v>20.399999999999999</v>
      </c>
      <c r="N107" s="452"/>
      <c r="O107" s="460"/>
      <c r="P107" s="578"/>
      <c r="Q107" s="581"/>
    </row>
    <row r="108" spans="1:22" s="390" customFormat="1" ht="108" customHeight="1">
      <c r="A108" s="424" t="s">
        <v>69</v>
      </c>
      <c r="B108" s="428" t="s">
        <v>11</v>
      </c>
      <c r="C108" s="480">
        <v>3</v>
      </c>
      <c r="D108" s="480"/>
      <c r="E108" s="480"/>
      <c r="F108" s="503">
        <f>E108+D108+C108</f>
        <v>3</v>
      </c>
      <c r="G108" s="480"/>
      <c r="H108" s="480"/>
      <c r="I108" s="480"/>
      <c r="J108" s="503">
        <f>I108+H108+G108</f>
        <v>0</v>
      </c>
      <c r="K108" s="504">
        <f>J108*100/F108</f>
        <v>0</v>
      </c>
      <c r="L108" s="416"/>
      <c r="M108" s="388">
        <v>2.7</v>
      </c>
      <c r="N108" s="389"/>
      <c r="O108" s="413"/>
      <c r="P108" s="573"/>
      <c r="Q108" s="581"/>
    </row>
    <row r="109" spans="1:22" s="390" customFormat="1" ht="147.75" customHeight="1">
      <c r="A109" s="751" t="s">
        <v>41</v>
      </c>
      <c r="B109" s="744" t="s">
        <v>76</v>
      </c>
      <c r="C109" s="691">
        <v>3665.3</v>
      </c>
      <c r="D109" s="691">
        <v>1040.4000000000001</v>
      </c>
      <c r="E109" s="691"/>
      <c r="F109" s="691">
        <f>E109+D109+C109</f>
        <v>4705.7000000000007</v>
      </c>
      <c r="G109" s="691">
        <v>814.7</v>
      </c>
      <c r="H109" s="691">
        <v>1040.4000000000001</v>
      </c>
      <c r="I109" s="691"/>
      <c r="J109" s="691">
        <f>G109+I109+H109</f>
        <v>1855.1000000000001</v>
      </c>
      <c r="K109" s="701">
        <f>J109/F109*100</f>
        <v>39.422402618101451</v>
      </c>
      <c r="L109" s="494" t="s">
        <v>372</v>
      </c>
      <c r="M109" s="450">
        <f>912.45+239.06+39.1+125.99+21.63+22.81+0.05+1.61</f>
        <v>1362.6999999999998</v>
      </c>
      <c r="N109" s="433" t="e">
        <f>M109+#REF!+#REF!</f>
        <v>#REF!</v>
      </c>
      <c r="O109" s="423">
        <f>460.43+102.84+99.99+8.4+6.09+2.61+113.11</f>
        <v>793.47</v>
      </c>
      <c r="P109" s="572">
        <f>O109+O110</f>
        <v>1855.1000000000001</v>
      </c>
      <c r="Q109" s="577">
        <f>J109-P109</f>
        <v>0</v>
      </c>
      <c r="R109" s="429"/>
      <c r="S109" s="429"/>
      <c r="T109" s="429"/>
      <c r="U109" s="429"/>
      <c r="V109" s="429"/>
    </row>
    <row r="110" spans="1:22" s="390" customFormat="1" ht="101.25" customHeight="1">
      <c r="A110" s="752"/>
      <c r="B110" s="745"/>
      <c r="C110" s="748"/>
      <c r="D110" s="748"/>
      <c r="E110" s="748"/>
      <c r="F110" s="748"/>
      <c r="G110" s="748"/>
      <c r="H110" s="748"/>
      <c r="I110" s="748"/>
      <c r="J110" s="748"/>
      <c r="K110" s="750"/>
      <c r="L110" s="760" t="s">
        <v>371</v>
      </c>
      <c r="M110" s="461"/>
      <c r="N110" s="419"/>
      <c r="O110" s="471">
        <f>21.23+1040.4</f>
        <v>1061.6300000000001</v>
      </c>
      <c r="P110" s="577"/>
      <c r="Q110" s="581"/>
      <c r="R110" s="429"/>
      <c r="S110" s="429"/>
      <c r="T110" s="429"/>
      <c r="U110" s="429"/>
      <c r="V110" s="429"/>
    </row>
    <row r="111" spans="1:22" s="390" customFormat="1" ht="94.5" customHeight="1">
      <c r="A111" s="436" t="s">
        <v>42</v>
      </c>
      <c r="B111" s="553" t="s">
        <v>77</v>
      </c>
      <c r="C111" s="562">
        <f>C112+C115</f>
        <v>35677.799999999996</v>
      </c>
      <c r="D111" s="562">
        <f t="shared" ref="D111:J111" si="4">D112+D115</f>
        <v>0</v>
      </c>
      <c r="E111" s="562">
        <f t="shared" si="4"/>
        <v>0</v>
      </c>
      <c r="F111" s="562">
        <f t="shared" si="4"/>
        <v>35677.799999999996</v>
      </c>
      <c r="G111" s="503">
        <f t="shared" si="4"/>
        <v>995.1</v>
      </c>
      <c r="H111" s="503">
        <f t="shared" si="4"/>
        <v>0</v>
      </c>
      <c r="I111" s="503">
        <f t="shared" si="4"/>
        <v>0</v>
      </c>
      <c r="J111" s="503">
        <f t="shared" si="4"/>
        <v>995.1</v>
      </c>
      <c r="K111" s="504">
        <f>J111*100/F111</f>
        <v>2.7891293745690602</v>
      </c>
      <c r="L111" s="416"/>
      <c r="M111" s="426"/>
      <c r="N111" s="389"/>
      <c r="O111" s="426"/>
      <c r="P111" s="577"/>
      <c r="Q111" s="581"/>
    </row>
    <row r="112" spans="1:22" s="390" customFormat="1" ht="156" customHeight="1">
      <c r="A112" s="554" t="s">
        <v>43</v>
      </c>
      <c r="B112" s="531" t="s">
        <v>12</v>
      </c>
      <c r="C112" s="518">
        <v>33767.199999999997</v>
      </c>
      <c r="D112" s="518"/>
      <c r="E112" s="518"/>
      <c r="F112" s="562">
        <f>E112+D112+C112</f>
        <v>33767.199999999997</v>
      </c>
      <c r="G112" s="518">
        <v>521.5</v>
      </c>
      <c r="H112" s="518"/>
      <c r="I112" s="518"/>
      <c r="J112" s="562">
        <f>I112+H112+G112</f>
        <v>521.5</v>
      </c>
      <c r="K112" s="564">
        <f>J112*100/F112</f>
        <v>1.5443981141462721</v>
      </c>
      <c r="L112" s="569" t="s">
        <v>367</v>
      </c>
      <c r="M112" s="450">
        <f>48.83+276.74+58.04+65.92+50.83+116.02</f>
        <v>616.38</v>
      </c>
      <c r="N112" s="703" t="e">
        <f>M112+#REF!+#REF!+#REF!+#REF!+#REF!+M115</f>
        <v>#REF!</v>
      </c>
      <c r="O112" s="423">
        <f>433.8+87.7</f>
        <v>521.5</v>
      </c>
      <c r="P112" s="699">
        <f>O112+O115</f>
        <v>995.1</v>
      </c>
      <c r="Q112" s="577">
        <f>J111-P112</f>
        <v>0</v>
      </c>
    </row>
    <row r="113" spans="1:18" s="390" customFormat="1" ht="159.75" hidden="1" customHeight="1">
      <c r="A113" s="561"/>
      <c r="B113" s="530"/>
      <c r="C113" s="502"/>
      <c r="D113" s="502"/>
      <c r="E113" s="502"/>
      <c r="F113" s="497"/>
      <c r="G113" s="502"/>
      <c r="H113" s="502"/>
      <c r="I113" s="502"/>
      <c r="J113" s="497"/>
      <c r="K113" s="586"/>
      <c r="L113" s="570"/>
      <c r="M113" s="460"/>
      <c r="N113" s="697"/>
      <c r="O113" s="420"/>
      <c r="P113" s="700"/>
      <c r="Q113" s="577"/>
    </row>
    <row r="114" spans="1:18" s="390" customFormat="1" ht="409.5" hidden="1" customHeight="1">
      <c r="A114" s="561"/>
      <c r="B114" s="530"/>
      <c r="C114" s="502"/>
      <c r="D114" s="502"/>
      <c r="E114" s="502"/>
      <c r="F114" s="497"/>
      <c r="G114" s="502"/>
      <c r="H114" s="502"/>
      <c r="I114" s="502"/>
      <c r="J114" s="497"/>
      <c r="K114" s="586"/>
      <c r="L114" s="570"/>
      <c r="M114" s="460"/>
      <c r="N114" s="697"/>
      <c r="O114" s="471"/>
      <c r="P114" s="489"/>
      <c r="Q114" s="577"/>
    </row>
    <row r="115" spans="1:18" s="390" customFormat="1" ht="59.25" customHeight="1">
      <c r="A115" s="437" t="s">
        <v>44</v>
      </c>
      <c r="B115" s="552" t="s">
        <v>13</v>
      </c>
      <c r="C115" s="480">
        <v>1910.6</v>
      </c>
      <c r="D115" s="480"/>
      <c r="E115" s="480"/>
      <c r="F115" s="503">
        <f>E115+D115+C115</f>
        <v>1910.6</v>
      </c>
      <c r="G115" s="480">
        <v>473.6</v>
      </c>
      <c r="H115" s="480"/>
      <c r="I115" s="480"/>
      <c r="J115" s="503">
        <f>I115+H115+G115</f>
        <v>473.6</v>
      </c>
      <c r="K115" s="504">
        <f>J115*100/F115</f>
        <v>24.78802470428138</v>
      </c>
      <c r="L115" s="416" t="s">
        <v>356</v>
      </c>
      <c r="M115" s="413">
        <v>611.5</v>
      </c>
      <c r="N115" s="726"/>
      <c r="O115" s="388">
        <v>473.6</v>
      </c>
      <c r="P115" s="577"/>
      <c r="Q115" s="581"/>
    </row>
    <row r="116" spans="1:18" s="390" customFormat="1" ht="144" customHeight="1">
      <c r="A116" s="567" t="s">
        <v>46</v>
      </c>
      <c r="B116" s="739" t="s">
        <v>30</v>
      </c>
      <c r="C116" s="562">
        <v>35346.300000000003</v>
      </c>
      <c r="D116" s="562">
        <v>161784</v>
      </c>
      <c r="E116" s="562"/>
      <c r="F116" s="562">
        <f>E116+D116+C116</f>
        <v>197130.3</v>
      </c>
      <c r="G116" s="562">
        <v>10715</v>
      </c>
      <c r="H116" s="562">
        <v>26382.6</v>
      </c>
      <c r="I116" s="562"/>
      <c r="J116" s="562">
        <f>SUM(G116:I116)</f>
        <v>37097.599999999999</v>
      </c>
      <c r="K116" s="564">
        <f>J116*100/F116</f>
        <v>18.818821865537668</v>
      </c>
      <c r="L116" s="494" t="s">
        <v>428</v>
      </c>
      <c r="M116" s="450">
        <f>10429.1+2836.6+17.88+1+111.86+4.1+47.7+70.55+583.06+171.75+89.3+0.8</f>
        <v>14363.699999999999</v>
      </c>
      <c r="N116" s="710" t="e">
        <f>M116+M117+M118+M119+M120+M122+#REF!+#REF!</f>
        <v>#REF!</v>
      </c>
      <c r="O116" s="450">
        <f>3501.7+710.7+40.3+9.5+686.1+18.6</f>
        <v>4966.9000000000005</v>
      </c>
      <c r="P116" s="699">
        <f>O116+O117+O118+O119+O120+O122+O121+O123</f>
        <v>37097.599999999999</v>
      </c>
      <c r="Q116" s="577">
        <f>J116-P116</f>
        <v>0</v>
      </c>
    </row>
    <row r="117" spans="1:18" s="390" customFormat="1" ht="76.5" customHeight="1">
      <c r="A117" s="495"/>
      <c r="B117" s="740"/>
      <c r="C117" s="497"/>
      <c r="D117" s="497"/>
      <c r="E117" s="497"/>
      <c r="F117" s="497"/>
      <c r="G117" s="497"/>
      <c r="H117" s="497"/>
      <c r="I117" s="497"/>
      <c r="J117" s="497"/>
      <c r="K117" s="586"/>
      <c r="L117" s="509" t="s">
        <v>427</v>
      </c>
      <c r="M117" s="460">
        <v>95040.2</v>
      </c>
      <c r="N117" s="711"/>
      <c r="O117" s="460">
        <v>26011.599999999999</v>
      </c>
      <c r="P117" s="700"/>
      <c r="Q117" s="581"/>
    </row>
    <row r="118" spans="1:18" s="390" customFormat="1" ht="101.25" customHeight="1">
      <c r="A118" s="495"/>
      <c r="B118" s="498"/>
      <c r="C118" s="497"/>
      <c r="D118" s="497"/>
      <c r="E118" s="497"/>
      <c r="F118" s="497"/>
      <c r="G118" s="497"/>
      <c r="H118" s="497"/>
      <c r="I118" s="497"/>
      <c r="J118" s="497"/>
      <c r="K118" s="586"/>
      <c r="L118" s="509" t="s">
        <v>429</v>
      </c>
      <c r="M118" s="460">
        <f>5375+41.08+181.2+1526.71+69.2+19.97+130.15+25.16+22.75+41.65+5.29+0.44</f>
        <v>7438.5999999999985</v>
      </c>
      <c r="N118" s="711"/>
      <c r="O118" s="460">
        <f>1827.2+340.4+17.5+2.5+5.3+54+0.2</f>
        <v>2247.1</v>
      </c>
      <c r="P118" s="700"/>
      <c r="Q118" s="581"/>
    </row>
    <row r="119" spans="1:18" s="390" customFormat="1" ht="72.75" customHeight="1">
      <c r="A119" s="495"/>
      <c r="B119" s="498"/>
      <c r="C119" s="497"/>
      <c r="D119" s="497"/>
      <c r="E119" s="497"/>
      <c r="F119" s="497"/>
      <c r="G119" s="497"/>
      <c r="H119" s="497"/>
      <c r="I119" s="497"/>
      <c r="J119" s="497"/>
      <c r="K119" s="586"/>
      <c r="L119" s="509" t="s">
        <v>432</v>
      </c>
      <c r="M119" s="460">
        <v>512.79999999999995</v>
      </c>
      <c r="N119" s="711"/>
      <c r="O119" s="460">
        <v>153.30000000000001</v>
      </c>
      <c r="P119" s="700"/>
      <c r="Q119" s="581"/>
    </row>
    <row r="120" spans="1:18" s="390" customFormat="1" ht="52.5" customHeight="1">
      <c r="A120" s="495"/>
      <c r="B120" s="498"/>
      <c r="C120" s="497"/>
      <c r="D120" s="497"/>
      <c r="E120" s="497"/>
      <c r="F120" s="497"/>
      <c r="G120" s="497"/>
      <c r="H120" s="497"/>
      <c r="I120" s="497"/>
      <c r="J120" s="497"/>
      <c r="K120" s="586"/>
      <c r="L120" s="509" t="s">
        <v>430</v>
      </c>
      <c r="M120" s="460">
        <v>563.20000000000005</v>
      </c>
      <c r="N120" s="421"/>
      <c r="O120" s="460">
        <v>170.7</v>
      </c>
      <c r="P120" s="700"/>
      <c r="Q120" s="581"/>
    </row>
    <row r="121" spans="1:18" s="390" customFormat="1" ht="33" customHeight="1">
      <c r="A121" s="495"/>
      <c r="B121" s="498"/>
      <c r="C121" s="497"/>
      <c r="D121" s="497"/>
      <c r="E121" s="497"/>
      <c r="F121" s="497"/>
      <c r="G121" s="497"/>
      <c r="H121" s="497"/>
      <c r="I121" s="497"/>
      <c r="J121" s="497"/>
      <c r="K121" s="586"/>
      <c r="L121" s="509" t="s">
        <v>431</v>
      </c>
      <c r="M121" s="460"/>
      <c r="N121" s="421"/>
      <c r="O121" s="460">
        <v>47</v>
      </c>
      <c r="P121" s="700"/>
      <c r="Q121" s="581"/>
    </row>
    <row r="122" spans="1:18" s="390" customFormat="1" ht="51.75" hidden="1" customHeight="1">
      <c r="A122" s="495"/>
      <c r="B122" s="498"/>
      <c r="C122" s="497"/>
      <c r="D122" s="497"/>
      <c r="E122" s="497"/>
      <c r="F122" s="497"/>
      <c r="G122" s="497"/>
      <c r="H122" s="497"/>
      <c r="I122" s="497"/>
      <c r="J122" s="497"/>
      <c r="K122" s="586"/>
      <c r="L122" s="509"/>
      <c r="M122" s="460">
        <v>15</v>
      </c>
      <c r="N122" s="421"/>
      <c r="O122" s="413"/>
      <c r="P122" s="741"/>
      <c r="Q122" s="581"/>
    </row>
    <row r="123" spans="1:18" s="390" customFormat="1" ht="78.75" customHeight="1">
      <c r="A123" s="555"/>
      <c r="B123" s="556"/>
      <c r="C123" s="497"/>
      <c r="D123" s="497"/>
      <c r="E123" s="497"/>
      <c r="F123" s="497"/>
      <c r="G123" s="497"/>
      <c r="H123" s="497"/>
      <c r="I123" s="497"/>
      <c r="J123" s="497"/>
      <c r="K123" s="586"/>
      <c r="L123" s="498" t="s">
        <v>433</v>
      </c>
      <c r="M123" s="461"/>
      <c r="N123" s="419"/>
      <c r="O123" s="461">
        <v>3501</v>
      </c>
      <c r="P123" s="489"/>
      <c r="Q123" s="581"/>
    </row>
    <row r="124" spans="1:18" s="390" customFormat="1" ht="71.25" customHeight="1">
      <c r="A124" s="557" t="s">
        <v>47</v>
      </c>
      <c r="B124" s="505" t="s">
        <v>78</v>
      </c>
      <c r="C124" s="503">
        <v>210</v>
      </c>
      <c r="D124" s="503">
        <v>50.9</v>
      </c>
      <c r="E124" s="503">
        <v>3336.9</v>
      </c>
      <c r="F124" s="503">
        <f>C124+D124+E124</f>
        <v>3597.8</v>
      </c>
      <c r="G124" s="503">
        <v>192.4</v>
      </c>
      <c r="H124" s="503">
        <v>46.6</v>
      </c>
      <c r="I124" s="503">
        <v>3057.7</v>
      </c>
      <c r="J124" s="503">
        <f>I124+H124+G124</f>
        <v>3296.7</v>
      </c>
      <c r="K124" s="504">
        <f>J124*100/F124</f>
        <v>91.630996720217908</v>
      </c>
      <c r="L124" s="416" t="s">
        <v>435</v>
      </c>
      <c r="M124" s="388">
        <v>2741.2</v>
      </c>
      <c r="N124" s="389"/>
      <c r="O124" s="388">
        <v>3296.7</v>
      </c>
      <c r="P124" s="577"/>
      <c r="Q124" s="581"/>
    </row>
    <row r="125" spans="1:18" s="390" customFormat="1" ht="133.5" customHeight="1">
      <c r="A125" s="742" t="s">
        <v>49</v>
      </c>
      <c r="B125" s="744" t="s">
        <v>87</v>
      </c>
      <c r="C125" s="562">
        <v>3567.3</v>
      </c>
      <c r="D125" s="562">
        <v>748</v>
      </c>
      <c r="E125" s="562"/>
      <c r="F125" s="562">
        <f>E125+D125+C125</f>
        <v>4315.3</v>
      </c>
      <c r="G125" s="746">
        <v>129.9</v>
      </c>
      <c r="H125" s="746">
        <v>139.4</v>
      </c>
      <c r="I125" s="691"/>
      <c r="J125" s="746">
        <f>I125+H125+G125</f>
        <v>269.3</v>
      </c>
      <c r="K125" s="701">
        <f>J125*100/F125</f>
        <v>6.2405858225384092</v>
      </c>
      <c r="L125" s="569" t="s">
        <v>383</v>
      </c>
      <c r="M125" s="450">
        <f>152.6+73.5+1208.5+2.5+37.2+7.5+71.3+3.9+205.2+0.1</f>
        <v>1762.3</v>
      </c>
      <c r="N125" s="710">
        <f>M125+M126</f>
        <v>2234.1999999999998</v>
      </c>
      <c r="O125" s="450">
        <f>13.1+5.4+43.8+67.6</f>
        <v>129.89999999999998</v>
      </c>
      <c r="P125" s="729">
        <f>O125+O126</f>
        <v>269.29999999999995</v>
      </c>
      <c r="Q125" s="735">
        <f>J125-P125</f>
        <v>0</v>
      </c>
    </row>
    <row r="126" spans="1:18" s="390" customFormat="1" ht="72.75" customHeight="1">
      <c r="A126" s="743"/>
      <c r="B126" s="745"/>
      <c r="C126" s="563"/>
      <c r="D126" s="563"/>
      <c r="E126" s="563"/>
      <c r="F126" s="563"/>
      <c r="G126" s="747"/>
      <c r="H126" s="747"/>
      <c r="I126" s="748"/>
      <c r="J126" s="747"/>
      <c r="K126" s="750"/>
      <c r="L126" s="764" t="s">
        <v>382</v>
      </c>
      <c r="M126" s="413">
        <v>471.9</v>
      </c>
      <c r="N126" s="713"/>
      <c r="O126" s="413">
        <v>139.4</v>
      </c>
      <c r="P126" s="730"/>
      <c r="Q126" s="735"/>
    </row>
    <row r="127" spans="1:18" s="390" customFormat="1" ht="142.5" customHeight="1">
      <c r="A127" s="436" t="s">
        <v>50</v>
      </c>
      <c r="B127" s="505" t="s">
        <v>79</v>
      </c>
      <c r="C127" s="503">
        <f>C128+C129</f>
        <v>23969.199999999997</v>
      </c>
      <c r="D127" s="503">
        <f t="shared" ref="D127:J127" si="5">D128+D129</f>
        <v>3105.7</v>
      </c>
      <c r="E127" s="503">
        <f t="shared" si="5"/>
        <v>10466.6</v>
      </c>
      <c r="F127" s="503">
        <f t="shared" si="5"/>
        <v>37541.5</v>
      </c>
      <c r="G127" s="503">
        <f t="shared" si="5"/>
        <v>4043.1</v>
      </c>
      <c r="H127" s="503">
        <f t="shared" si="5"/>
        <v>0</v>
      </c>
      <c r="I127" s="503">
        <f t="shared" si="5"/>
        <v>0</v>
      </c>
      <c r="J127" s="503">
        <f t="shared" si="5"/>
        <v>4043.1</v>
      </c>
      <c r="K127" s="504">
        <f t="shared" ref="K127:K130" si="6">J127*100/F127</f>
        <v>10.769681552415326</v>
      </c>
      <c r="L127" s="558"/>
      <c r="M127" s="450"/>
      <c r="N127" s="439" t="e">
        <f>M128+#REF!+M129</f>
        <v>#REF!</v>
      </c>
      <c r="O127" s="388"/>
      <c r="P127" s="577"/>
      <c r="Q127" s="581"/>
    </row>
    <row r="128" spans="1:18" s="390" customFormat="1" ht="117.75" customHeight="1">
      <c r="A128" s="561" t="s">
        <v>51</v>
      </c>
      <c r="B128" s="526" t="s">
        <v>14</v>
      </c>
      <c r="C128" s="510">
        <v>4972.1000000000004</v>
      </c>
      <c r="D128" s="510">
        <v>3105.7</v>
      </c>
      <c r="E128" s="510">
        <v>10466.6</v>
      </c>
      <c r="F128" s="511">
        <f>E128+D128+C128</f>
        <v>18544.400000000001</v>
      </c>
      <c r="G128" s="510">
        <v>150</v>
      </c>
      <c r="H128" s="510"/>
      <c r="I128" s="510"/>
      <c r="J128" s="511">
        <f>I128+H128+G128</f>
        <v>150</v>
      </c>
      <c r="K128" s="586">
        <f t="shared" si="6"/>
        <v>0.80886952395332279</v>
      </c>
      <c r="L128" s="762" t="s">
        <v>368</v>
      </c>
      <c r="M128" s="471">
        <f>38.1+140+20</f>
        <v>198.1</v>
      </c>
      <c r="N128" s="421"/>
      <c r="O128" s="450">
        <v>150</v>
      </c>
      <c r="P128" s="572">
        <f>O128+O129</f>
        <v>4043.1</v>
      </c>
      <c r="Q128" s="577">
        <f>J127-P128</f>
        <v>0</v>
      </c>
      <c r="R128" s="440"/>
    </row>
    <row r="129" spans="1:26" ht="135.75" customHeight="1">
      <c r="A129" s="559" t="s">
        <v>52</v>
      </c>
      <c r="B129" s="526" t="s">
        <v>5</v>
      </c>
      <c r="C129" s="507">
        <v>18997.099999999999</v>
      </c>
      <c r="D129" s="507"/>
      <c r="E129" s="507"/>
      <c r="F129" s="508">
        <f>E129+D129+C129</f>
        <v>18997.099999999999</v>
      </c>
      <c r="G129" s="518">
        <v>3893.1</v>
      </c>
      <c r="H129" s="518"/>
      <c r="I129" s="518"/>
      <c r="J129" s="562">
        <f>I129+H129+G129</f>
        <v>3893.1</v>
      </c>
      <c r="K129" s="564">
        <f t="shared" si="6"/>
        <v>20.493127898468714</v>
      </c>
      <c r="L129" s="473" t="s">
        <v>369</v>
      </c>
      <c r="M129" s="413">
        <f>8128.45+41.23+2+2331.96+81.6+206.1+77.1+417.1+153.1+243.1+88.56+2.3+3.1</f>
        <v>11775.7</v>
      </c>
      <c r="N129" s="452"/>
      <c r="O129" s="461">
        <f>2829.64+6.5+690.84+29.64+104.28+12.7+54.7+164+0.8</f>
        <v>3893.1</v>
      </c>
      <c r="P129" s="578"/>
    </row>
    <row r="130" spans="1:26" ht="91.5" customHeight="1">
      <c r="A130" s="414" t="s">
        <v>53</v>
      </c>
      <c r="B130" s="415" t="s">
        <v>80</v>
      </c>
      <c r="C130" s="503">
        <v>50</v>
      </c>
      <c r="D130" s="503"/>
      <c r="E130" s="503"/>
      <c r="F130" s="503">
        <f>E130+D130+C130</f>
        <v>50</v>
      </c>
      <c r="G130" s="503">
        <v>0</v>
      </c>
      <c r="H130" s="503"/>
      <c r="I130" s="503"/>
      <c r="J130" s="503">
        <f>SUM(G130:I130)</f>
        <v>0</v>
      </c>
      <c r="K130" s="504">
        <f t="shared" si="6"/>
        <v>0</v>
      </c>
      <c r="L130" s="521" t="s">
        <v>366</v>
      </c>
    </row>
    <row r="131" spans="1:26" s="427" customFormat="1" ht="40.5" customHeight="1">
      <c r="A131" s="736" t="s">
        <v>54</v>
      </c>
      <c r="B131" s="737"/>
      <c r="C131" s="481">
        <f t="shared" ref="C131:J131" si="7">C111+C127+C125+C97+C124+C103+C104+C49+C85+C109+C78+C50+C13+C116+C130+C12+C7</f>
        <v>870372.5</v>
      </c>
      <c r="D131" s="481">
        <f t="shared" si="7"/>
        <v>1408639.6</v>
      </c>
      <c r="E131" s="481">
        <f t="shared" si="7"/>
        <v>198157.3</v>
      </c>
      <c r="F131" s="481">
        <f t="shared" si="7"/>
        <v>2477169.4</v>
      </c>
      <c r="G131" s="481">
        <f t="shared" si="7"/>
        <v>170280.1</v>
      </c>
      <c r="H131" s="481">
        <f t="shared" si="7"/>
        <v>263403.3</v>
      </c>
      <c r="I131" s="481">
        <f t="shared" si="7"/>
        <v>34243.599999999999</v>
      </c>
      <c r="J131" s="481">
        <f t="shared" si="7"/>
        <v>467926.99999999994</v>
      </c>
      <c r="K131" s="482">
        <f>J131/F131*100</f>
        <v>18.88958421656589</v>
      </c>
      <c r="L131" s="463"/>
      <c r="M131" s="388"/>
      <c r="N131" s="389"/>
      <c r="O131" s="388"/>
      <c r="P131" s="577"/>
      <c r="Q131" s="581"/>
      <c r="R131" s="441"/>
      <c r="S131" s="441"/>
      <c r="T131" s="441"/>
      <c r="U131" s="441"/>
      <c r="V131" s="441"/>
      <c r="W131" s="441"/>
      <c r="X131" s="441"/>
      <c r="Y131" s="441"/>
      <c r="Z131" s="441"/>
    </row>
    <row r="132" spans="1:26" ht="27.75" customHeight="1">
      <c r="A132" s="442"/>
      <c r="B132" s="443"/>
      <c r="C132" s="483"/>
      <c r="D132" s="483"/>
      <c r="E132" s="483"/>
      <c r="F132" s="483"/>
      <c r="G132" s="483"/>
      <c r="H132" s="483"/>
      <c r="I132" s="483"/>
      <c r="J132" s="483"/>
      <c r="K132" s="484"/>
      <c r="L132" s="442"/>
    </row>
    <row r="133" spans="1:26" ht="27.75" hidden="1" customHeight="1">
      <c r="A133" s="442"/>
      <c r="B133" s="443"/>
      <c r="C133" s="483">
        <v>870372.5</v>
      </c>
      <c r="D133" s="483">
        <v>1408639.6</v>
      </c>
      <c r="E133" s="483">
        <v>198157.3</v>
      </c>
      <c r="F133" s="483">
        <f>C133+D133+E133</f>
        <v>2477169.4</v>
      </c>
      <c r="G133" s="483">
        <v>170280.1</v>
      </c>
      <c r="H133" s="483">
        <v>263403.3</v>
      </c>
      <c r="I133" s="483">
        <v>34243.599999999999</v>
      </c>
      <c r="J133" s="483">
        <f>SUM(G133:I133)</f>
        <v>467927</v>
      </c>
      <c r="K133" s="484"/>
      <c r="L133" s="442"/>
    </row>
    <row r="134" spans="1:26" ht="82.5" customHeight="1">
      <c r="A134" s="738" t="s">
        <v>358</v>
      </c>
      <c r="B134" s="738"/>
      <c r="C134" s="738"/>
      <c r="D134" s="738"/>
      <c r="E134" s="738"/>
      <c r="F134" s="738"/>
      <c r="G134" s="444"/>
      <c r="H134" s="444"/>
      <c r="I134" s="444"/>
      <c r="J134" s="444"/>
      <c r="K134" s="485"/>
      <c r="L134" s="442"/>
    </row>
    <row r="135" spans="1:26">
      <c r="A135" s="738"/>
      <c r="B135" s="738"/>
      <c r="C135" s="738"/>
      <c r="D135" s="738"/>
      <c r="E135" s="738"/>
      <c r="F135" s="738"/>
      <c r="G135" s="444"/>
      <c r="H135" s="444"/>
      <c r="I135" s="444"/>
      <c r="J135" s="444"/>
      <c r="K135" s="485"/>
      <c r="L135" s="442"/>
    </row>
    <row r="136" spans="1:26">
      <c r="A136" s="738"/>
      <c r="B136" s="738"/>
      <c r="C136" s="738"/>
      <c r="D136" s="738"/>
      <c r="E136" s="738"/>
      <c r="F136" s="738"/>
    </row>
    <row r="137" spans="1:26" ht="20.25" customHeight="1">
      <c r="A137" s="738"/>
      <c r="B137" s="738"/>
      <c r="C137" s="738"/>
      <c r="D137" s="738"/>
      <c r="E137" s="738"/>
      <c r="F137" s="738"/>
      <c r="L137" s="391" t="s">
        <v>56</v>
      </c>
    </row>
    <row r="138" spans="1:26" ht="48.75" customHeight="1">
      <c r="D138" s="487"/>
      <c r="E138" s="487"/>
      <c r="L138" s="403"/>
    </row>
    <row r="139" spans="1:26">
      <c r="A139" s="391" t="s">
        <v>57</v>
      </c>
      <c r="D139" s="487"/>
      <c r="E139" s="487"/>
      <c r="L139" s="446"/>
    </row>
    <row r="140" spans="1:26">
      <c r="A140" s="391" t="s">
        <v>70</v>
      </c>
      <c r="D140" s="487"/>
      <c r="E140" s="487"/>
      <c r="L140" s="446"/>
    </row>
    <row r="141" spans="1:26" s="388" customFormat="1">
      <c r="A141" s="391" t="s">
        <v>357</v>
      </c>
      <c r="B141" s="391"/>
      <c r="C141" s="394"/>
      <c r="D141" s="487"/>
      <c r="E141" s="487"/>
      <c r="F141" s="395"/>
      <c r="G141" s="394"/>
      <c r="H141" s="394"/>
      <c r="I141" s="394"/>
      <c r="J141" s="395"/>
      <c r="K141" s="486"/>
      <c r="L141" s="445"/>
      <c r="N141" s="389"/>
      <c r="P141" s="577"/>
      <c r="Q141" s="581"/>
      <c r="R141" s="390"/>
      <c r="S141" s="390"/>
      <c r="T141" s="390"/>
      <c r="U141" s="390"/>
      <c r="V141" s="390"/>
      <c r="W141" s="390"/>
      <c r="X141" s="390"/>
      <c r="Y141" s="390"/>
      <c r="Z141" s="390"/>
    </row>
    <row r="142" spans="1:26" s="388" customFormat="1" ht="24.75" customHeight="1">
      <c r="A142" s="749" t="s">
        <v>110</v>
      </c>
      <c r="B142" s="749"/>
      <c r="C142" s="394"/>
      <c r="D142" s="487"/>
      <c r="E142" s="487"/>
      <c r="F142" s="395"/>
      <c r="G142" s="394"/>
      <c r="H142" s="394"/>
      <c r="I142" s="394"/>
      <c r="J142" s="395"/>
      <c r="K142" s="486"/>
      <c r="L142" s="447"/>
      <c r="N142" s="389"/>
      <c r="P142" s="577"/>
      <c r="Q142" s="581"/>
      <c r="R142" s="390"/>
      <c r="S142" s="390"/>
      <c r="T142" s="390"/>
      <c r="U142" s="390"/>
      <c r="V142" s="390"/>
      <c r="W142" s="390"/>
      <c r="X142" s="390"/>
      <c r="Y142" s="390"/>
      <c r="Z142" s="390"/>
    </row>
    <row r="143" spans="1:26" s="388" customFormat="1">
      <c r="A143" s="391"/>
      <c r="B143" s="391"/>
      <c r="C143" s="394"/>
      <c r="D143" s="487"/>
      <c r="E143" s="487"/>
      <c r="F143" s="395"/>
      <c r="G143" s="394"/>
      <c r="H143" s="394"/>
      <c r="I143" s="394"/>
      <c r="J143" s="395"/>
      <c r="K143" s="486"/>
      <c r="L143" s="391"/>
      <c r="N143" s="389"/>
      <c r="P143" s="577"/>
      <c r="Q143" s="581"/>
      <c r="R143" s="390"/>
      <c r="S143" s="390"/>
      <c r="T143" s="390"/>
      <c r="U143" s="390"/>
      <c r="V143" s="390"/>
      <c r="W143" s="390"/>
      <c r="X143" s="390"/>
      <c r="Y143" s="390"/>
      <c r="Z143" s="390"/>
    </row>
    <row r="144" spans="1:26" s="388" customFormat="1">
      <c r="A144" s="391"/>
      <c r="B144" s="391"/>
      <c r="C144" s="394"/>
      <c r="D144" s="487"/>
      <c r="E144" s="487"/>
      <c r="F144" s="395"/>
      <c r="G144" s="394"/>
      <c r="H144" s="394"/>
      <c r="I144" s="394"/>
      <c r="J144" s="395"/>
      <c r="K144" s="486"/>
      <c r="L144" s="391"/>
      <c r="N144" s="389"/>
      <c r="P144" s="577"/>
      <c r="Q144" s="581"/>
      <c r="R144" s="390"/>
      <c r="S144" s="390"/>
      <c r="T144" s="390"/>
      <c r="U144" s="390"/>
      <c r="V144" s="390"/>
      <c r="W144" s="390"/>
      <c r="X144" s="390"/>
      <c r="Y144" s="390"/>
      <c r="Z144" s="390"/>
    </row>
    <row r="145" spans="1:26" s="388" customFormat="1">
      <c r="A145" s="391"/>
      <c r="B145" s="391"/>
      <c r="C145" s="394"/>
      <c r="D145" s="487"/>
      <c r="E145" s="487"/>
      <c r="F145" s="395"/>
      <c r="G145" s="394"/>
      <c r="H145" s="394"/>
      <c r="I145" s="394"/>
      <c r="J145" s="395"/>
      <c r="K145" s="486"/>
      <c r="L145" s="446"/>
      <c r="N145" s="389"/>
      <c r="P145" s="577"/>
      <c r="Q145" s="581"/>
      <c r="R145" s="390"/>
      <c r="S145" s="390"/>
      <c r="T145" s="390"/>
      <c r="U145" s="390"/>
      <c r="V145" s="390"/>
      <c r="W145" s="390"/>
      <c r="X145" s="390"/>
      <c r="Y145" s="390"/>
      <c r="Z145" s="390"/>
    </row>
    <row r="146" spans="1:26" s="388" customFormat="1">
      <c r="A146" s="391"/>
      <c r="B146" s="391"/>
      <c r="C146" s="394"/>
      <c r="D146" s="487"/>
      <c r="E146" s="487"/>
      <c r="F146" s="395"/>
      <c r="G146" s="394"/>
      <c r="H146" s="394"/>
      <c r="I146" s="394"/>
      <c r="J146" s="395"/>
      <c r="K146" s="486"/>
      <c r="L146" s="446"/>
      <c r="N146" s="389"/>
      <c r="P146" s="577"/>
      <c r="Q146" s="581"/>
      <c r="R146" s="390"/>
      <c r="S146" s="390"/>
      <c r="T146" s="390"/>
      <c r="U146" s="390"/>
      <c r="V146" s="390"/>
      <c r="W146" s="390"/>
      <c r="X146" s="390"/>
      <c r="Y146" s="390"/>
      <c r="Z146" s="390"/>
    </row>
    <row r="147" spans="1:26" s="388" customFormat="1">
      <c r="A147" s="391"/>
      <c r="B147" s="391"/>
      <c r="C147" s="394"/>
      <c r="D147" s="487"/>
      <c r="E147" s="487"/>
      <c r="F147" s="395"/>
      <c r="G147" s="394"/>
      <c r="H147" s="394"/>
      <c r="I147" s="394"/>
      <c r="J147" s="395"/>
      <c r="K147" s="486"/>
      <c r="L147" s="391"/>
      <c r="N147" s="389"/>
      <c r="P147" s="577"/>
      <c r="Q147" s="581"/>
      <c r="R147" s="390"/>
      <c r="S147" s="390"/>
      <c r="T147" s="390"/>
      <c r="U147" s="390"/>
      <c r="V147" s="390"/>
      <c r="W147" s="390"/>
      <c r="X147" s="390"/>
      <c r="Y147" s="390"/>
      <c r="Z147" s="390"/>
    </row>
    <row r="148" spans="1:26" s="388" customFormat="1">
      <c r="A148" s="391"/>
      <c r="B148" s="391"/>
      <c r="C148" s="394"/>
      <c r="D148" s="487"/>
      <c r="E148" s="487"/>
      <c r="F148" s="395"/>
      <c r="G148" s="394"/>
      <c r="H148" s="394"/>
      <c r="I148" s="394"/>
      <c r="J148" s="395"/>
      <c r="K148" s="486"/>
      <c r="L148" s="391"/>
      <c r="N148" s="389"/>
      <c r="P148" s="577"/>
      <c r="Q148" s="581"/>
      <c r="R148" s="390"/>
      <c r="S148" s="390"/>
      <c r="T148" s="390"/>
      <c r="U148" s="390"/>
      <c r="V148" s="390"/>
      <c r="W148" s="390"/>
      <c r="X148" s="390"/>
      <c r="Y148" s="390"/>
      <c r="Z148" s="390"/>
    </row>
    <row r="149" spans="1:26" s="388" customFormat="1">
      <c r="A149" s="391"/>
      <c r="B149" s="391"/>
      <c r="C149" s="394"/>
      <c r="D149" s="487"/>
      <c r="E149" s="487"/>
      <c r="F149" s="395"/>
      <c r="G149" s="394"/>
      <c r="H149" s="394"/>
      <c r="I149" s="394"/>
      <c r="J149" s="395"/>
      <c r="K149" s="486"/>
      <c r="L149" s="391"/>
      <c r="N149" s="389"/>
      <c r="P149" s="577"/>
      <c r="Q149" s="581"/>
      <c r="R149" s="390"/>
      <c r="S149" s="390"/>
      <c r="T149" s="390"/>
      <c r="U149" s="390"/>
      <c r="V149" s="390"/>
      <c r="W149" s="390"/>
      <c r="X149" s="390"/>
      <c r="Y149" s="390"/>
      <c r="Z149" s="390"/>
    </row>
    <row r="150" spans="1:26" s="388" customFormat="1">
      <c r="A150" s="391"/>
      <c r="B150" s="391"/>
      <c r="C150" s="394"/>
      <c r="D150" s="487"/>
      <c r="E150" s="487"/>
      <c r="F150" s="395"/>
      <c r="G150" s="394"/>
      <c r="H150" s="394"/>
      <c r="I150" s="394"/>
      <c r="J150" s="395"/>
      <c r="K150" s="486"/>
      <c r="L150" s="391"/>
      <c r="N150" s="389"/>
      <c r="P150" s="577"/>
      <c r="Q150" s="581"/>
      <c r="R150" s="390"/>
      <c r="S150" s="390"/>
      <c r="T150" s="390"/>
      <c r="U150" s="390"/>
      <c r="V150" s="390"/>
      <c r="W150" s="390"/>
      <c r="X150" s="390"/>
      <c r="Y150" s="390"/>
      <c r="Z150" s="390"/>
    </row>
    <row r="151" spans="1:26" s="388" customFormat="1">
      <c r="A151" s="391"/>
      <c r="B151" s="391"/>
      <c r="C151" s="394"/>
      <c r="D151" s="487"/>
      <c r="E151" s="487"/>
      <c r="F151" s="395"/>
      <c r="G151" s="394"/>
      <c r="H151" s="394"/>
      <c r="I151" s="394"/>
      <c r="J151" s="395"/>
      <c r="K151" s="486"/>
      <c r="L151" s="391"/>
      <c r="N151" s="389"/>
      <c r="P151" s="577"/>
      <c r="Q151" s="581"/>
      <c r="R151" s="390"/>
      <c r="S151" s="390"/>
      <c r="T151" s="390"/>
      <c r="U151" s="390"/>
      <c r="V151" s="390"/>
      <c r="W151" s="390"/>
      <c r="X151" s="390"/>
      <c r="Y151" s="390"/>
      <c r="Z151" s="390"/>
    </row>
    <row r="152" spans="1:26" s="388" customFormat="1">
      <c r="A152" s="391"/>
      <c r="B152" s="391"/>
      <c r="C152" s="394"/>
      <c r="D152" s="487"/>
      <c r="E152" s="394"/>
      <c r="F152" s="395"/>
      <c r="G152" s="394"/>
      <c r="H152" s="394"/>
      <c r="I152" s="394"/>
      <c r="J152" s="395"/>
      <c r="K152" s="486"/>
      <c r="L152" s="391"/>
      <c r="N152" s="389"/>
      <c r="P152" s="577"/>
      <c r="Q152" s="581"/>
      <c r="R152" s="390"/>
      <c r="S152" s="390"/>
      <c r="T152" s="390"/>
      <c r="U152" s="390"/>
      <c r="V152" s="390"/>
      <c r="W152" s="390"/>
      <c r="X152" s="390"/>
      <c r="Y152" s="390"/>
      <c r="Z152" s="390"/>
    </row>
    <row r="153" spans="1:26" s="388" customFormat="1">
      <c r="A153" s="391"/>
      <c r="B153" s="391"/>
      <c r="C153" s="394"/>
      <c r="D153" s="487"/>
      <c r="E153" s="394"/>
      <c r="F153" s="395"/>
      <c r="G153" s="394"/>
      <c r="H153" s="394"/>
      <c r="I153" s="394"/>
      <c r="J153" s="395"/>
      <c r="K153" s="486"/>
      <c r="L153" s="391"/>
      <c r="N153" s="389"/>
      <c r="P153" s="577"/>
      <c r="Q153" s="581"/>
      <c r="R153" s="390"/>
      <c r="S153" s="390"/>
      <c r="T153" s="390"/>
      <c r="U153" s="390"/>
      <c r="V153" s="390"/>
      <c r="W153" s="390"/>
      <c r="X153" s="390"/>
      <c r="Y153" s="390"/>
      <c r="Z153" s="390"/>
    </row>
  </sheetData>
  <sheetProtection formatCells="0" formatColumns="0" formatRows="0" insertColumns="0" insertRows="0" insertHyperlinks="0" deleteColumns="0" deleteRows="0" sort="0" autoFilter="0" pivotTables="0"/>
  <mergeCells count="72">
    <mergeCell ref="A1:L1"/>
    <mergeCell ref="A2:L2"/>
    <mergeCell ref="A4:A5"/>
    <mergeCell ref="B4:B5"/>
    <mergeCell ref="C4:F4"/>
    <mergeCell ref="G4:J4"/>
    <mergeCell ref="K4:K5"/>
    <mergeCell ref="L4:L5"/>
    <mergeCell ref="A51:A52"/>
    <mergeCell ref="B51:B52"/>
    <mergeCell ref="G51:G52"/>
    <mergeCell ref="H51:H52"/>
    <mergeCell ref="I51:I52"/>
    <mergeCell ref="N7:N10"/>
    <mergeCell ref="P8:P10"/>
    <mergeCell ref="N14:N35"/>
    <mergeCell ref="N44:N47"/>
    <mergeCell ref="P44:P47"/>
    <mergeCell ref="N78:N82"/>
    <mergeCell ref="P78:P82"/>
    <mergeCell ref="J51:J52"/>
    <mergeCell ref="K51:K52"/>
    <mergeCell ref="N51:N52"/>
    <mergeCell ref="N56:N64"/>
    <mergeCell ref="N70:N73"/>
    <mergeCell ref="N74:N75"/>
    <mergeCell ref="P74:P75"/>
    <mergeCell ref="Q74:Q75"/>
    <mergeCell ref="N76:N77"/>
    <mergeCell ref="P76:P77"/>
    <mergeCell ref="Q76:Q77"/>
    <mergeCell ref="R97:R102"/>
    <mergeCell ref="N86:N87"/>
    <mergeCell ref="P86:P87"/>
    <mergeCell ref="Q86:Q87"/>
    <mergeCell ref="N88:N91"/>
    <mergeCell ref="P88:P91"/>
    <mergeCell ref="Q88:Q91"/>
    <mergeCell ref="F109:F110"/>
    <mergeCell ref="P92:P95"/>
    <mergeCell ref="Q92:Q95"/>
    <mergeCell ref="N97:N102"/>
    <mergeCell ref="P97:P102"/>
    <mergeCell ref="Q97:Q102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J109:J110"/>
    <mergeCell ref="K109:K110"/>
    <mergeCell ref="P112:P113"/>
    <mergeCell ref="B116:B117"/>
    <mergeCell ref="N116:N119"/>
    <mergeCell ref="P116:P122"/>
    <mergeCell ref="A125:A126"/>
    <mergeCell ref="B125:B126"/>
    <mergeCell ref="G125:G126"/>
    <mergeCell ref="H125:H126"/>
    <mergeCell ref="I125:I126"/>
    <mergeCell ref="J125:J126"/>
    <mergeCell ref="N112:N115"/>
    <mergeCell ref="A142:B142"/>
    <mergeCell ref="K125:K126"/>
    <mergeCell ref="N125:N126"/>
    <mergeCell ref="P125:P126"/>
    <mergeCell ref="Q125:Q126"/>
    <mergeCell ref="A131:B131"/>
    <mergeCell ref="A134:F137"/>
  </mergeCells>
  <pageMargins left="0.15748031496062992" right="0.15748031496062992" top="0.43307086614173229" bottom="0.19685039370078741" header="0" footer="0"/>
  <pageSetup paperSize="9" scale="39" fitToHeight="0" orientation="landscape" r:id="rId1"/>
  <rowBreaks count="7" manualBreakCount="7">
    <brk id="17" max="11" man="1"/>
    <brk id="42" max="11" man="1"/>
    <brk id="56" max="11" man="1"/>
    <brk id="77" max="11" man="1"/>
    <brk id="87" max="11" man="1"/>
    <brk id="105" max="11" man="1"/>
    <brk id="1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1 квартал 2026</vt:lpstr>
      <vt:lpstr>Отчет!Заголовки_для_печати</vt:lpstr>
      <vt:lpstr>'Отчет за 1 квартал 2026'!Заголовки_для_печати</vt:lpstr>
      <vt:lpstr>'Отчет за 12 месяцев (2)'!Заголовки_для_печати</vt:lpstr>
      <vt:lpstr>Отчет!Область_печати</vt:lpstr>
      <vt:lpstr>'Отчет за 1 квартал 2026'!Область_печати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2026-05-06T03:06:08Z</dcterms:modified>
</cp:coreProperties>
</file>